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nas\Documentación\Urbanismo\Errp\común\"/>
    </mc:Choice>
  </mc:AlternateContent>
  <workbookProtection workbookAlgorithmName="SHA-512" workbookHashValue="Q+cQCUZZl+0EThyca1dmgIftGHJoqZD7L90N4GB8tjyveLomcO1rhIk8ukW2WHsKYUFxg9BgiWSbhF86EHOQlw==" workbookSaltValue="1jctXV62WqeagPhNoiJoSA==" workbookSpinCount="100000" lockStructure="1"/>
  <bookViews>
    <workbookView xWindow="0" yWindow="0" windowWidth="25125" windowHeight="12330"/>
  </bookViews>
  <sheets>
    <sheet name="Cálculo subvención" sheetId="1" r:id="rId1"/>
    <sheet name="Vulnerabilidad" sheetId="2" r:id="rId2"/>
    <sheet name="DIR_ACTUACION" sheetId="4" r:id="rId3"/>
  </sheets>
  <definedNames>
    <definedName name="_xlnm.Print_Area" localSheetId="0">'Cálculo subvención'!$A$1:$K$34</definedName>
    <definedName name="_xlnm.Print_Area" localSheetId="1">Vulnerabilidad!$A$1:$K$25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8" i="1"/>
  <c r="G19" i="2" l="1"/>
  <c r="D5" i="2" l="1"/>
  <c r="I17" i="2"/>
  <c r="I18" i="2"/>
  <c r="G16" i="2"/>
  <c r="D5" i="1" l="1"/>
  <c r="C22" i="1" l="1"/>
  <c r="G13" i="2"/>
  <c r="G15" i="2" l="1"/>
  <c r="I15" i="2"/>
  <c r="G17" i="2"/>
  <c r="E9" i="1"/>
  <c r="I36" i="1"/>
  <c r="I37" i="1"/>
  <c r="I38" i="1"/>
  <c r="G8" i="2" l="1"/>
  <c r="D12" i="1"/>
  <c r="F17" i="1"/>
  <c r="I14" i="1"/>
  <c r="H14" i="1"/>
  <c r="E12" i="1"/>
  <c r="C12" i="1"/>
  <c r="D9" i="1"/>
  <c r="H19" i="1" l="1"/>
  <c r="H17" i="1"/>
  <c r="I17" i="1"/>
  <c r="G11" i="1" s="1"/>
  <c r="F11" i="1"/>
  <c r="F17" i="2"/>
  <c r="F15" i="2"/>
  <c r="F16" i="2"/>
  <c r="G18" i="2"/>
  <c r="I16" i="2"/>
  <c r="C2" i="2"/>
  <c r="D15" i="2" l="1"/>
  <c r="H21" i="1" l="1"/>
  <c r="D20" i="1" s="1"/>
  <c r="E20" i="1" s="1"/>
  <c r="D21" i="1" l="1"/>
  <c r="E21" i="1"/>
  <c r="D22" i="1" l="1"/>
  <c r="D23" i="1" s="1"/>
  <c r="D26" i="1" l="1"/>
  <c r="E22" i="1"/>
  <c r="G20" i="2" s="1"/>
  <c r="D18" i="2" s="1"/>
  <c r="D20" i="2" s="1"/>
  <c r="E23" i="1"/>
  <c r="G22" i="2" s="1"/>
  <c r="G21" i="2" s="1"/>
  <c r="D24" i="1"/>
  <c r="D25" i="1"/>
  <c r="F14" i="1" s="1"/>
  <c r="E25" i="1" l="1"/>
</calcChain>
</file>

<file path=xl/sharedStrings.xml><?xml version="1.0" encoding="utf-8"?>
<sst xmlns="http://schemas.openxmlformats.org/spreadsheetml/2006/main" count="279" uniqueCount="166">
  <si>
    <t>Cálculo subvención ERRPs</t>
  </si>
  <si>
    <t>ERRP</t>
  </si>
  <si>
    <t>Ahorro energético conseguido con la actuación</t>
  </si>
  <si>
    <t>Dirección</t>
  </si>
  <si>
    <t>No hay ahorro energético</t>
  </si>
  <si>
    <t>Expediente Nº</t>
  </si>
  <si>
    <t>30% ≤ ΔCep,nren &lt; 45%</t>
  </si>
  <si>
    <t>45% ≤ ΔCep,nren &lt; 60%</t>
  </si>
  <si>
    <t>ΔCep,nren ≥ 60%</t>
  </si>
  <si>
    <t>Ahorro consumo energético</t>
  </si>
  <si>
    <t>Reducción de la demanda energética anual global de calefacción y refrigeración, de al menos un:</t>
  </si>
  <si>
    <t>¿se pasa del máximo?</t>
  </si>
  <si>
    <t>Subvención máxima %</t>
  </si>
  <si>
    <t>media por viv / Local</t>
  </si>
  <si>
    <t>Número de viviendas</t>
  </si>
  <si>
    <t>Número de locales</t>
  </si>
  <si>
    <t>subvención locales</t>
  </si>
  <si>
    <t>Total viv+local</t>
  </si>
  <si>
    <t>Presupuesto amianto</t>
  </si>
  <si>
    <t>Subvención amianto (edif)</t>
  </si>
  <si>
    <t>Subvención amianto</t>
  </si>
  <si>
    <t>Subvención amianto (x viv)</t>
  </si>
  <si>
    <t>"Las informaciones y orientaciones que emita el Sistema de Información al Ciudadano tendrán un carácter meramente ilustrativo para quienes lo soliciten. Por tanto:</t>
  </si>
  <si>
    <t>a) En ningún caso entrañarán una interpretación normativa a la que se refiere el artículo 37.10 de la Ley de Régimen Jurídico de las Administraciones Públicas y del Procedimiento Administrativo Común,</t>
  </si>
  <si>
    <t xml:space="preserve">    ni consideración jurídica o económica, sino una simple determinación de conceptos, información de opciones legales o colaboración en la cumplimentación de impresos o solicitudes.</t>
  </si>
  <si>
    <t>b) Tales informaciones y orientaciones no originarán derechos ni expectativas de derecho a favor de los solicitantes ni de terceros y no podrán lesionar derechos ni intereses legítimos de los interesados u otras personas.</t>
  </si>
  <si>
    <t>c) No ofrecerán vinculación alguna con el procedimiento administrativo al que se refieran y, en este sentido, la información no podrá invocarse a efectos de interrupción o suspensión de plazos, caducidad o prescripción, ni servirá de instrumento formal de notificación en el expediente."</t>
  </si>
  <si>
    <t>Situaciones de vulnerabilidad</t>
  </si>
  <si>
    <t>Cuantía máxima de la ayuda por vivienda</t>
  </si>
  <si>
    <t>IPREM</t>
  </si>
  <si>
    <t>Año de los ingresos de la unidad de convivencia</t>
  </si>
  <si>
    <t>Total ingresos de las personas convivientes</t>
  </si>
  <si>
    <t>2 o más</t>
  </si>
  <si>
    <t>Número de personas menores de edad</t>
  </si>
  <si>
    <t>3 o más</t>
  </si>
  <si>
    <t>Número de personas con una discapacidad =&gt; 33%</t>
  </si>
  <si>
    <t>Situación de vulnerabilidad</t>
  </si>
  <si>
    <t>NRO EDIF</t>
  </si>
  <si>
    <t xml:space="preserve">Catalogado como </t>
  </si>
  <si>
    <t>CINCO VILLAS 1</t>
  </si>
  <si>
    <t>CINCO VILLAS 2</t>
  </si>
  <si>
    <t>CL AGUIRRE 10</t>
  </si>
  <si>
    <t>Protegido</t>
  </si>
  <si>
    <t>CL AGUIRRE  12</t>
  </si>
  <si>
    <t>CL AGUIRRE  16</t>
  </si>
  <si>
    <t>PZ CINCO VILLAS 5</t>
  </si>
  <si>
    <t>CL CARMEN 1</t>
  </si>
  <si>
    <t>CL COMÚN 2</t>
  </si>
  <si>
    <t>CL DEHESA SERENA 2-4</t>
  </si>
  <si>
    <t>CL MONCAYO 1</t>
  </si>
  <si>
    <t>CL MONCAYO 2</t>
  </si>
  <si>
    <t>CL MONCAYO 3</t>
  </si>
  <si>
    <t>CL MONCAYO 4</t>
  </si>
  <si>
    <t>CL MONCAYO 5</t>
  </si>
  <si>
    <t>CL MONCAYO 6</t>
  </si>
  <si>
    <t>CL MONCAYO 7</t>
  </si>
  <si>
    <t>CL MONCAYO 8</t>
  </si>
  <si>
    <t>CL OBISPO ACOSTA 1</t>
  </si>
  <si>
    <t>CL OBISPO ACOSTA 2</t>
  </si>
  <si>
    <t>CL OBISPO ACOSTA 3</t>
  </si>
  <si>
    <t>CL OBISPO ACOSTA 4</t>
  </si>
  <si>
    <t>CL OBISPO AGUSTÍN 13</t>
  </si>
  <si>
    <t>CL PLATERÍAS 4</t>
  </si>
  <si>
    <t>CL POSTAS 23</t>
  </si>
  <si>
    <t>CL POSTAS 24</t>
  </si>
  <si>
    <t>CL POSTAS 25</t>
  </si>
  <si>
    <t>CL POSTAS 27</t>
  </si>
  <si>
    <t>CL POSTAS 29</t>
  </si>
  <si>
    <t>CL POSTAS 31</t>
  </si>
  <si>
    <t>CL POSTAS 36</t>
  </si>
  <si>
    <t>CL POZO ALBAR 1</t>
  </si>
  <si>
    <t>CL POZO ALBAR 6</t>
  </si>
  <si>
    <t>CL POZO ALBAR 8</t>
  </si>
  <si>
    <t xml:space="preserve">CL REAL 3 </t>
  </si>
  <si>
    <t>CL REAL 40-48</t>
  </si>
  <si>
    <t>CL REAL 59</t>
  </si>
  <si>
    <t>CL REAL 61</t>
  </si>
  <si>
    <t>CL REAL 63-71</t>
  </si>
  <si>
    <t>CL SAN AGUSTÍN 1-3</t>
  </si>
  <si>
    <t>CL SAN JOSE OBRERO 1</t>
  </si>
  <si>
    <t>CL SAN JOSE OBRERO 3</t>
  </si>
  <si>
    <t>PZ CINCO VILLAS 4</t>
  </si>
  <si>
    <t>CL SAN MARTIN 12</t>
  </si>
  <si>
    <t>CL SAN MARTIN 14</t>
  </si>
  <si>
    <t>CL SAN MARTIN 16</t>
  </si>
  <si>
    <t>CL SAN MARTIN 2</t>
  </si>
  <si>
    <t>CL SAN MARTIN 22</t>
  </si>
  <si>
    <t>CL SAN MARTIN 24</t>
  </si>
  <si>
    <t>PZ TIRSO DE MOLINA 7</t>
  </si>
  <si>
    <t>CL SAN MARTIN 4</t>
  </si>
  <si>
    <t xml:space="preserve">CL SAN VICENTE 1 </t>
  </si>
  <si>
    <t xml:space="preserve">CL SAN VICENTE 3 </t>
  </si>
  <si>
    <t>CL SAN VICENTE 5</t>
  </si>
  <si>
    <t>CL SAN VICENTE 7</t>
  </si>
  <si>
    <t>CL SAN VICENTE 9</t>
  </si>
  <si>
    <t>CL SANTA MONICA 1 -CL SANTA CRUZ 14</t>
  </si>
  <si>
    <t>CL SANTA MONICA 2-4</t>
  </si>
  <si>
    <t>CL SANTÍSIMA TRINIDAD 1</t>
  </si>
  <si>
    <t>CL SANTÍSIMA TRINIDAD 1(D)</t>
  </si>
  <si>
    <t>CL SANTÍSIMA TRINIDAD 1(T)</t>
  </si>
  <si>
    <t>CL SANTÍSIMA TRINIDAD 11</t>
  </si>
  <si>
    <t>CL SANTÍSIMA TRINIDAD 13</t>
  </si>
  <si>
    <t>CL SANTÍSIMA TRINIDAD 2</t>
  </si>
  <si>
    <t>CL SANTÍSIMA TRINIDAD 3</t>
  </si>
  <si>
    <t>CL SANTÍSIMA TRINIDAD 4</t>
  </si>
  <si>
    <t>CL SANTÍSIMA TRINIDAD 6</t>
  </si>
  <si>
    <t>CL SANTÍSIMA TRINIDAD 7</t>
  </si>
  <si>
    <t>PZ TIRSO DE MOLINA 8</t>
  </si>
  <si>
    <t>CL SANZ OLIVEROS 10</t>
  </si>
  <si>
    <t>CL ZAPATERÍA 14</t>
  </si>
  <si>
    <t>CL ZAPATERÍA 18</t>
  </si>
  <si>
    <t>CL ZAPATERÍA 2</t>
  </si>
  <si>
    <t>CL ZAPATERÍA 20</t>
  </si>
  <si>
    <t>CL ZAPATERÍA 22</t>
  </si>
  <si>
    <t>CL ZAPATERÍA 24</t>
  </si>
  <si>
    <t>CL ZAPATERÍA 28</t>
  </si>
  <si>
    <t>CL ZAPATERÍA 4</t>
  </si>
  <si>
    <t>CL ZAPATERÍA 6</t>
  </si>
  <si>
    <t>CT MATADERO 2</t>
  </si>
  <si>
    <t>PZ RAMÓN AYLLÓN 1</t>
  </si>
  <si>
    <t>CL POSTAS 7</t>
  </si>
  <si>
    <t>PZ RAMÓN AYLLÓN 11</t>
  </si>
  <si>
    <t>PZ RAMÓN AYLLÓN 12</t>
  </si>
  <si>
    <t>PZ RAMÓN AYLLÓN 2</t>
  </si>
  <si>
    <t>PZ RAMÓN AYLLÓN 3</t>
  </si>
  <si>
    <t>PZ RAMÓN AYLLÓN 4</t>
  </si>
  <si>
    <t>PZ TIRSO MOLINA 10</t>
  </si>
  <si>
    <t>PZ TIRSO MOLINA 9</t>
  </si>
  <si>
    <t>PZA FUENTES CABREJAS 5</t>
  </si>
  <si>
    <t>SANZ OLIVEROS 11</t>
  </si>
  <si>
    <t>SANZ OLIVEROS 7</t>
  </si>
  <si>
    <t>SANZ OLIVEROS 9</t>
  </si>
  <si>
    <t>TR POZO ALBAR 3</t>
  </si>
  <si>
    <t>TR POZO ALBAR 1- CL JOSE OBRERO 2</t>
  </si>
  <si>
    <t>Nº Registro solicitud</t>
  </si>
  <si>
    <t xml:space="preserve">San Pedro- Entorno del Carmen </t>
  </si>
  <si>
    <r>
      <t>Total m</t>
    </r>
    <r>
      <rPr>
        <vertAlign val="superscript"/>
        <sz val="11"/>
        <color rgb="FFFF6161"/>
        <rFont val="Calibri"/>
        <family val="2"/>
        <scheme val="minor"/>
      </rPr>
      <t>2</t>
    </r>
    <r>
      <rPr>
        <sz val="11"/>
        <color rgb="FFFF6161"/>
        <rFont val="Calibri"/>
        <family val="2"/>
        <scheme val="minor"/>
      </rPr>
      <t xml:space="preserve"> locales</t>
    </r>
  </si>
  <si>
    <t>mm</t>
  </si>
  <si>
    <t>dd</t>
  </si>
  <si>
    <t>Si optan por financiación con opcion Anticipo subvención</t>
  </si>
  <si>
    <t>Si</t>
  </si>
  <si>
    <t>Subvención por vivienda</t>
  </si>
  <si>
    <t>CL ARBOLEDA 1</t>
  </si>
  <si>
    <t>CL ARBOLEDA 2</t>
  </si>
  <si>
    <t>CL ARBOLEDA 3</t>
  </si>
  <si>
    <t>CL ARBOLEDA 4</t>
  </si>
  <si>
    <t>CL ARBOLEDA 6</t>
  </si>
  <si>
    <t>IPREM 14 pagas</t>
  </si>
  <si>
    <t>Cuantía máxima de la ayuda UE por vivienda</t>
  </si>
  <si>
    <t>Porcentaje máximo de la subvención del coste de la actuación EU</t>
  </si>
  <si>
    <t>subvención vivs ue</t>
  </si>
  <si>
    <t>subvención vivis ayto</t>
  </si>
  <si>
    <t>Porcentaje máximo de la subvención del coste de la actuación Ayto</t>
  </si>
  <si>
    <t>Cuantía máxima de la ayuda Ayto por vivienda</t>
  </si>
  <si>
    <t>Presupuesto total subvencionable</t>
  </si>
  <si>
    <t>Inversion total (excl. Impuestos, tasas y otros gastos no subvencionables)</t>
  </si>
  <si>
    <t>"Las informaciones y orientaciones que emita la Oficina de Rehabilitación al ciudadano tendrán un carácter meramente ilustrativo para quienes lo soliciten. Por tanto:</t>
  </si>
  <si>
    <t>Subvención otorgada adicional*</t>
  </si>
  <si>
    <t>*</t>
  </si>
  <si>
    <t>Esta ayuda adicional se podrá completar hasta el 100% del total del presupuesto, con fonods europeos y si no fueran suficientes, aumentarse si en la partida presupuestaria del ayuntamiento hubiera fondos disponibles hasta los 21.400€ en total.</t>
  </si>
  <si>
    <t>Subvención máxima incluida la vulnerabilidad</t>
  </si>
  <si>
    <t>Cuantia por vivienda</t>
  </si>
  <si>
    <t>Inversion total por vivienda</t>
  </si>
  <si>
    <t>Presupuesto de gastos totales no subvencionables(licencias u otros)</t>
  </si>
  <si>
    <t>Diferencia cuantia unitaria máxima</t>
  </si>
  <si>
    <t>Gastos no subvencionable por vivienda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</si>
</sst>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 Narrow"/>
      <family val="2"/>
    </font>
    <font>
      <b/>
      <sz val="12"/>
      <color theme="0"/>
      <name val="Calibri"/>
      <family val="2"/>
      <scheme val="minor"/>
    </font>
    <font>
      <sz val="10"/>
      <color rgb="FF8EA5B7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name val="Calibri"/>
      <family val="2"/>
      <scheme val="minor"/>
    </font>
    <font>
      <sz val="10"/>
      <color theme="0"/>
      <name val="Arial Narrow"/>
      <family val="2"/>
    </font>
    <font>
      <b/>
      <sz val="16"/>
      <color theme="0"/>
      <name val="Calibri"/>
      <family val="2"/>
      <scheme val="minor"/>
    </font>
    <font>
      <sz val="11"/>
      <color rgb="FF8EA5B7"/>
      <name val="Calibri"/>
      <family val="2"/>
      <scheme val="minor"/>
    </font>
    <font>
      <sz val="11"/>
      <color rgb="FF000000"/>
      <name val="Calibri"/>
      <family val="2"/>
    </font>
    <font>
      <b/>
      <sz val="16"/>
      <name val="Calibri"/>
      <family val="2"/>
      <scheme val="minor"/>
    </font>
    <font>
      <sz val="10"/>
      <color rgb="FFFF6161"/>
      <name val="Arial Narrow"/>
      <family val="2"/>
    </font>
    <font>
      <sz val="11"/>
      <color rgb="FFFF6161"/>
      <name val="Calibri"/>
      <family val="2"/>
      <scheme val="minor"/>
    </font>
    <font>
      <vertAlign val="superscript"/>
      <sz val="11"/>
      <color rgb="FFFF6161"/>
      <name val="Calibri"/>
      <family val="2"/>
      <scheme val="minor"/>
    </font>
    <font>
      <b/>
      <sz val="10"/>
      <name val="Arial Narrow"/>
      <family val="2"/>
    </font>
    <font>
      <sz val="16"/>
      <name val="Calibri"/>
      <family val="2"/>
      <scheme val="minor"/>
    </font>
    <font>
      <sz val="11"/>
      <color rgb="FF8EA5B7"/>
      <name val="Arial Narrow"/>
      <family val="2"/>
    </font>
    <font>
      <b/>
      <sz val="11"/>
      <color theme="4" tint="-0.249977111117893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6161"/>
        <bgColor rgb="FF000000"/>
      </patternFill>
    </fill>
    <fill>
      <patternFill patternType="solid">
        <fgColor rgb="FFFF616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000000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medium">
        <color auto="1"/>
      </right>
      <top/>
      <bottom style="dashed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13" fillId="0" borderId="0" applyNumberFormat="0" applyBorder="0" applyProtection="0"/>
  </cellStyleXfs>
  <cellXfs count="105">
    <xf numFmtId="0" fontId="0" fillId="0" borderId="0" xfId="0"/>
    <xf numFmtId="0" fontId="1" fillId="0" borderId="0" xfId="0" applyFont="1" applyBorder="1" applyAlignment="1">
      <alignment horizontal="right" vertical="center" indent="1"/>
    </xf>
    <xf numFmtId="0" fontId="0" fillId="0" borderId="0" xfId="0" applyFont="1"/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 wrapText="1"/>
    </xf>
    <xf numFmtId="164" fontId="0" fillId="0" borderId="11" xfId="0" applyNumberFormat="1" applyFont="1" applyBorder="1" applyAlignment="1">
      <alignment horizontal="center" vertical="center"/>
    </xf>
    <xf numFmtId="164" fontId="0" fillId="0" borderId="14" xfId="0" applyNumberFormat="1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1" fillId="0" borderId="0" xfId="0" applyFont="1"/>
    <xf numFmtId="0" fontId="3" fillId="0" borderId="0" xfId="0" applyFont="1" applyAlignment="1">
      <alignment horizontal="right" vertical="center" indent="1"/>
    </xf>
    <xf numFmtId="8" fontId="0" fillId="0" borderId="18" xfId="0" applyNumberFormat="1" applyFont="1" applyBorder="1" applyAlignment="1">
      <alignment horizontal="center" vertical="center"/>
    </xf>
    <xf numFmtId="8" fontId="0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 indent="1"/>
    </xf>
    <xf numFmtId="0" fontId="1" fillId="0" borderId="12" xfId="0" applyFont="1" applyBorder="1" applyAlignment="1">
      <alignment horizontal="center" vertical="center"/>
    </xf>
    <xf numFmtId="164" fontId="1" fillId="0" borderId="0" xfId="0" applyNumberFormat="1" applyFont="1" applyAlignment="1" applyProtection="1">
      <alignment horizontal="right" indent="1"/>
    </xf>
    <xf numFmtId="9" fontId="1" fillId="0" borderId="7" xfId="1" applyFont="1" applyBorder="1" applyAlignment="1">
      <alignment horizontal="right" vertical="center" indent="3"/>
    </xf>
    <xf numFmtId="9" fontId="1" fillId="0" borderId="10" xfId="1" applyFont="1" applyBorder="1" applyAlignment="1">
      <alignment horizontal="right" vertical="center" indent="3"/>
    </xf>
    <xf numFmtId="9" fontId="1" fillId="0" borderId="13" xfId="1" applyFont="1" applyBorder="1" applyAlignment="1">
      <alignment horizontal="right" vertical="center" indent="3"/>
    </xf>
    <xf numFmtId="0" fontId="12" fillId="0" borderId="0" xfId="0" applyFont="1"/>
    <xf numFmtId="0" fontId="8" fillId="0" borderId="0" xfId="0" applyFont="1"/>
    <xf numFmtId="0" fontId="13" fillId="0" borderId="0" xfId="2" applyFont="1" applyFill="1" applyAlignment="1"/>
    <xf numFmtId="0" fontId="6" fillId="2" borderId="0" xfId="0" applyFont="1" applyFill="1" applyBorder="1" applyProtection="1"/>
    <xf numFmtId="0" fontId="10" fillId="2" borderId="0" xfId="0" applyFont="1" applyFill="1" applyBorder="1" applyProtection="1"/>
    <xf numFmtId="0" fontId="0" fillId="3" borderId="0" xfId="0" applyFill="1"/>
    <xf numFmtId="0" fontId="9" fillId="4" borderId="0" xfId="0" applyFont="1" applyFill="1" applyBorder="1" applyAlignment="1" applyProtection="1">
      <alignment horizontal="right" vertical="center" indent="1"/>
      <protection locked="0"/>
    </xf>
    <xf numFmtId="0" fontId="2" fillId="4" borderId="0" xfId="0" applyFont="1" applyFill="1" applyBorder="1" applyAlignment="1" applyProtection="1">
      <alignment horizontal="right" vertical="center" indent="1"/>
      <protection locked="0"/>
    </xf>
    <xf numFmtId="0" fontId="1" fillId="4" borderId="0" xfId="0" applyFont="1" applyFill="1" applyAlignment="1">
      <alignment horizontal="right" vertical="center" indent="1"/>
    </xf>
    <xf numFmtId="0" fontId="2" fillId="4" borderId="0" xfId="0" applyFont="1" applyFill="1" applyAlignment="1">
      <alignment horizontal="right" vertical="center" indent="1"/>
    </xf>
    <xf numFmtId="0" fontId="2" fillId="4" borderId="1" xfId="0" applyFont="1" applyFill="1" applyBorder="1" applyAlignment="1">
      <alignment horizontal="right" vertical="center" indent="1"/>
    </xf>
    <xf numFmtId="0" fontId="4" fillId="2" borderId="0" xfId="0" applyFont="1" applyFill="1" applyBorder="1" applyProtection="1"/>
    <xf numFmtId="0" fontId="15" fillId="2" borderId="0" xfId="0" applyFont="1" applyFill="1" applyBorder="1" applyProtection="1"/>
    <xf numFmtId="0" fontId="16" fillId="3" borderId="0" xfId="0" applyFont="1" applyFill="1" applyBorder="1" applyAlignment="1">
      <alignment horizontal="right" indent="1"/>
    </xf>
    <xf numFmtId="0" fontId="18" fillId="2" borderId="0" xfId="0" applyFont="1" applyFill="1" applyBorder="1" applyProtection="1"/>
    <xf numFmtId="0" fontId="9" fillId="4" borderId="0" xfId="0" applyFont="1" applyFill="1" applyBorder="1" applyAlignment="1" applyProtection="1">
      <alignment horizontal="center" vertical="center"/>
      <protection locked="0"/>
    </xf>
    <xf numFmtId="0" fontId="0" fillId="3" borderId="0" xfId="0" applyFont="1" applyFill="1"/>
    <xf numFmtId="0" fontId="2" fillId="3" borderId="0" xfId="0" applyFont="1" applyFill="1" applyBorder="1" applyAlignment="1" applyProtection="1">
      <alignment horizontal="right" vertical="center" indent="1"/>
      <protection locked="0"/>
    </xf>
    <xf numFmtId="0" fontId="16" fillId="3" borderId="0" xfId="0" applyFont="1" applyFill="1"/>
    <xf numFmtId="164" fontId="3" fillId="0" borderId="22" xfId="0" applyNumberFormat="1" applyFont="1" applyFill="1" applyBorder="1" applyAlignment="1">
      <alignment horizontal="right" indent="1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</xf>
    <xf numFmtId="164" fontId="2" fillId="4" borderId="1" xfId="0" applyNumberFormat="1" applyFont="1" applyFill="1" applyBorder="1" applyAlignment="1" applyProtection="1">
      <alignment horizontal="right" vertical="center" indent="1"/>
      <protection locked="0"/>
    </xf>
    <xf numFmtId="3" fontId="2" fillId="4" borderId="1" xfId="0" applyNumberFormat="1" applyFont="1" applyFill="1" applyBorder="1" applyAlignment="1" applyProtection="1">
      <alignment horizontal="right" vertical="center" indent="1"/>
      <protection locked="0"/>
    </xf>
    <xf numFmtId="164" fontId="3" fillId="4" borderId="22" xfId="0" applyNumberFormat="1" applyFont="1" applyFill="1" applyBorder="1" applyAlignment="1">
      <alignment horizontal="right" indent="1"/>
    </xf>
    <xf numFmtId="164" fontId="3" fillId="4" borderId="0" xfId="0" applyNumberFormat="1" applyFont="1" applyFill="1" applyBorder="1" applyAlignment="1">
      <alignment horizontal="right" indent="1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3" fillId="4" borderId="23" xfId="0" applyNumberFormat="1" applyFont="1" applyFill="1" applyBorder="1" applyAlignment="1">
      <alignment horizontal="right" indent="1"/>
    </xf>
    <xf numFmtId="0" fontId="1" fillId="0" borderId="2" xfId="0" applyFont="1" applyBorder="1" applyAlignment="1">
      <alignment horizontal="center" vertical="center"/>
    </xf>
    <xf numFmtId="0" fontId="0" fillId="5" borderId="0" xfId="0" applyFont="1" applyFill="1"/>
    <xf numFmtId="0" fontId="2" fillId="5" borderId="0" xfId="0" applyFont="1" applyFill="1" applyAlignment="1">
      <alignment horizontal="right" vertical="center"/>
    </xf>
    <xf numFmtId="164" fontId="3" fillId="5" borderId="0" xfId="0" applyNumberFormat="1" applyFont="1" applyFill="1" applyBorder="1" applyAlignment="1">
      <alignment horizontal="right" indent="1"/>
    </xf>
    <xf numFmtId="164" fontId="21" fillId="0" borderId="8" xfId="0" applyNumberFormat="1" applyFont="1" applyBorder="1" applyAlignment="1">
      <alignment horizontal="right" vertical="center" indent="2"/>
    </xf>
    <xf numFmtId="164" fontId="21" fillId="0" borderId="11" xfId="0" applyNumberFormat="1" applyFont="1" applyBorder="1" applyAlignment="1">
      <alignment horizontal="right" vertical="center" indent="2"/>
    </xf>
    <xf numFmtId="164" fontId="21" fillId="0" borderId="14" xfId="0" applyNumberFormat="1" applyFont="1" applyBorder="1" applyAlignment="1">
      <alignment horizontal="right" vertical="center" indent="2"/>
    </xf>
    <xf numFmtId="164" fontId="22" fillId="0" borderId="8" xfId="0" applyNumberFormat="1" applyFont="1" applyBorder="1" applyAlignment="1">
      <alignment horizontal="right" vertical="center" indent="2"/>
    </xf>
    <xf numFmtId="164" fontId="22" fillId="0" borderId="11" xfId="0" applyNumberFormat="1" applyFont="1" applyBorder="1" applyAlignment="1">
      <alignment horizontal="right" vertical="center" indent="2"/>
    </xf>
    <xf numFmtId="164" fontId="22" fillId="0" borderId="14" xfId="0" applyNumberFormat="1" applyFont="1" applyBorder="1" applyAlignment="1">
      <alignment horizontal="right" vertical="center" indent="2"/>
    </xf>
    <xf numFmtId="0" fontId="20" fillId="3" borderId="0" xfId="0" applyFont="1" applyFill="1" applyBorder="1" applyProtection="1"/>
    <xf numFmtId="0" fontId="1" fillId="3" borderId="0" xfId="0" applyFont="1" applyFill="1"/>
    <xf numFmtId="0" fontId="2" fillId="0" borderId="1" xfId="0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right" vertical="center" indent="1"/>
      <protection locked="0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 indent="1"/>
    </xf>
    <xf numFmtId="164" fontId="15" fillId="2" borderId="0" xfId="0" applyNumberFormat="1" applyFont="1" applyFill="1" applyBorder="1" applyProtection="1"/>
    <xf numFmtId="164" fontId="16" fillId="3" borderId="0" xfId="0" applyNumberFormat="1" applyFont="1" applyFill="1"/>
    <xf numFmtId="164" fontId="3" fillId="5" borderId="0" xfId="0" applyNumberFormat="1" applyFont="1" applyFill="1" applyBorder="1" applyAlignment="1" applyProtection="1">
      <alignment horizontal="right" indent="1"/>
      <protection locked="0"/>
    </xf>
    <xf numFmtId="8" fontId="0" fillId="0" borderId="14" xfId="0" applyNumberFormat="1" applyFont="1" applyBorder="1" applyAlignment="1">
      <alignment horizontal="center" vertical="center"/>
    </xf>
    <xf numFmtId="0" fontId="0" fillId="3" borderId="0" xfId="0" applyFont="1" applyFill="1" applyAlignment="1" applyProtection="1">
      <alignment horizontal="right"/>
    </xf>
    <xf numFmtId="0" fontId="0" fillId="3" borderId="0" xfId="0" applyFont="1" applyFill="1" applyProtection="1"/>
    <xf numFmtId="0" fontId="0" fillId="3" borderId="0" xfId="0" applyFill="1" applyProtection="1"/>
    <xf numFmtId="0" fontId="4" fillId="6" borderId="0" xfId="0" applyFont="1" applyFill="1" applyBorder="1" applyProtection="1"/>
    <xf numFmtId="0" fontId="2" fillId="4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/>
    </xf>
    <xf numFmtId="0" fontId="1" fillId="0" borderId="0" xfId="0" applyFont="1" applyBorder="1" applyAlignment="1">
      <alignment horizontal="right" vertical="center" wrapText="1" indent="1"/>
    </xf>
    <xf numFmtId="0" fontId="5" fillId="2" borderId="0" xfId="0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horizontal="center" vertical="center"/>
    </xf>
    <xf numFmtId="0" fontId="14" fillId="4" borderId="19" xfId="0" applyNumberFormat="1" applyFont="1" applyFill="1" applyBorder="1" applyAlignment="1" applyProtection="1">
      <alignment horizontal="center" vertical="center"/>
      <protection locked="0"/>
    </xf>
    <xf numFmtId="0" fontId="11" fillId="4" borderId="19" xfId="0" applyNumberFormat="1" applyFont="1" applyFill="1" applyBorder="1" applyAlignment="1" applyProtection="1">
      <alignment horizontal="center" vertical="center"/>
      <protection locked="0"/>
    </xf>
    <xf numFmtId="0" fontId="2" fillId="4" borderId="20" xfId="0" applyFont="1" applyFill="1" applyBorder="1" applyAlignment="1" applyProtection="1">
      <alignment horizontal="center" vertical="center"/>
      <protection locked="0"/>
    </xf>
    <xf numFmtId="0" fontId="2" fillId="4" borderId="21" xfId="0" applyFont="1" applyFill="1" applyBorder="1" applyAlignment="1" applyProtection="1">
      <alignment horizontal="center" vertical="center"/>
      <protection locked="0"/>
    </xf>
    <xf numFmtId="0" fontId="2" fillId="3" borderId="21" xfId="0" applyFont="1" applyFill="1" applyBorder="1" applyAlignment="1" applyProtection="1">
      <alignment horizontal="left" vertical="center"/>
      <protection locked="0"/>
    </xf>
    <xf numFmtId="0" fontId="1" fillId="3" borderId="21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0" fontId="1" fillId="3" borderId="0" xfId="0" applyFont="1" applyFill="1" applyBorder="1" applyAlignment="1" applyProtection="1">
      <alignment horizontal="left" vertical="center"/>
      <protection locked="0"/>
    </xf>
    <xf numFmtId="0" fontId="14" fillId="4" borderId="0" xfId="0" applyNumberFormat="1" applyFont="1" applyFill="1" applyBorder="1" applyAlignment="1" applyProtection="1">
      <alignment horizontal="left" vertical="center"/>
    </xf>
    <xf numFmtId="0" fontId="19" fillId="4" borderId="0" xfId="0" applyNumberFormat="1" applyFont="1" applyFill="1" applyBorder="1" applyAlignment="1" applyProtection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Font="1" applyAlignment="1">
      <alignment horizontal="center"/>
    </xf>
    <xf numFmtId="3" fontId="2" fillId="3" borderId="0" xfId="0" applyNumberFormat="1" applyFont="1" applyFill="1" applyBorder="1" applyAlignment="1" applyProtection="1">
      <alignment horizontal="right" vertical="center" indent="1"/>
    </xf>
    <xf numFmtId="4" fontId="2" fillId="3" borderId="0" xfId="0" applyNumberFormat="1" applyFont="1" applyFill="1" applyBorder="1" applyAlignment="1" applyProtection="1">
      <alignment horizontal="right" vertical="center" indent="1"/>
    </xf>
  </cellXfs>
  <cellStyles count="3">
    <cellStyle name="Normal" xfId="0" builtinId="0"/>
    <cellStyle name="Normal 2" xfId="2"/>
    <cellStyle name="Porcentaje" xfId="1" builtinId="5"/>
  </cellStyles>
  <dxfs count="1">
    <dxf>
      <font>
        <b/>
        <i val="0"/>
        <color theme="3"/>
      </font>
    </dxf>
  </dxfs>
  <tableStyles count="0" defaultTableStyle="TableStyleMedium2" defaultPivotStyle="PivotStyleLight16"/>
  <colors>
    <mruColors>
      <color rgb="FFFF6161"/>
      <color rgb="FF8EA5B7"/>
      <color rgb="FF00000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07/relationships/hdphoto" Target="../media/hdphoto1.wdp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87313</xdr:colOff>
      <xdr:row>27</xdr:row>
      <xdr:rowOff>22029</xdr:rowOff>
    </xdr:from>
    <xdr:to>
      <xdr:col>3</xdr:col>
      <xdr:colOff>1646651</xdr:colOff>
      <xdr:row>27</xdr:row>
      <xdr:rowOff>474657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13" y="6760967"/>
          <a:ext cx="7072312" cy="452628"/>
        </a:xfrm>
        <a:prstGeom prst="rect">
          <a:avLst/>
        </a:prstGeom>
      </xdr:spPr>
    </xdr:pic>
    <xdr:clientData/>
  </xdr:twoCellAnchor>
  <xdr:twoCellAnchor editAs="oneCell">
    <xdr:from>
      <xdr:col>14</xdr:col>
      <xdr:colOff>719235</xdr:colOff>
      <xdr:row>18</xdr:row>
      <xdr:rowOff>136071</xdr:rowOff>
    </xdr:from>
    <xdr:to>
      <xdr:col>23</xdr:col>
      <xdr:colOff>186472</xdr:colOff>
      <xdr:row>38</xdr:row>
      <xdr:rowOff>59038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prstClr val="black"/>
            <a:schemeClr val="accent5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96888" y="5170714"/>
          <a:ext cx="6290247" cy="4374446"/>
        </a:xfrm>
        <a:prstGeom prst="rect">
          <a:avLst/>
        </a:prstGeom>
        <a:solidFill>
          <a:schemeClr val="bg1"/>
        </a:solidFill>
      </xdr:spPr>
    </xdr:pic>
    <xdr:clientData/>
  </xdr:twoCellAnchor>
  <xdr:twoCellAnchor editAs="oneCell">
    <xdr:from>
      <xdr:col>5</xdr:col>
      <xdr:colOff>1127450</xdr:colOff>
      <xdr:row>6</xdr:row>
      <xdr:rowOff>447091</xdr:rowOff>
    </xdr:from>
    <xdr:to>
      <xdr:col>9</xdr:col>
      <xdr:colOff>855307</xdr:colOff>
      <xdr:row>26</xdr:row>
      <xdr:rowOff>115107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duotone>
            <a:prstClr val="black"/>
            <a:schemeClr val="accent5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44440" y="2536759"/>
          <a:ext cx="6298163" cy="432360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460348</xdr:colOff>
      <xdr:row>7</xdr:row>
      <xdr:rowOff>23813</xdr:rowOff>
    </xdr:from>
    <xdr:to>
      <xdr:col>9</xdr:col>
      <xdr:colOff>539749</xdr:colOff>
      <xdr:row>22</xdr:row>
      <xdr:rowOff>181036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prstClr val="black"/>
            <a:schemeClr val="accent5">
              <a:tint val="45000"/>
              <a:satMod val="400000"/>
            </a:schemeClr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colorTemperature colorTemp="11500"/>
                  </a14:imgEffect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2223" y="2024063"/>
          <a:ext cx="4460901" cy="306234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4</xdr:col>
      <xdr:colOff>738187</xdr:colOff>
      <xdr:row>23</xdr:row>
      <xdr:rowOff>452628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95875"/>
          <a:ext cx="7072312" cy="4526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zoomScale="98" zoomScaleNormal="98" zoomScaleSheetLayoutView="115" workbookViewId="0">
      <selection activeCell="H14" sqref="H14"/>
    </sheetView>
  </sheetViews>
  <sheetFormatPr baseColWidth="10" defaultColWidth="11.42578125" defaultRowHeight="15" x14ac:dyDescent="0.25"/>
  <cols>
    <col min="1" max="1" width="14.5703125" customWidth="1"/>
    <col min="2" max="2" width="21.42578125" customWidth="1"/>
    <col min="3" max="3" width="45.85546875" customWidth="1"/>
    <col min="4" max="4" width="25.7109375" customWidth="1"/>
    <col min="5" max="5" width="18.7109375" customWidth="1"/>
    <col min="6" max="6" width="25" customWidth="1"/>
    <col min="7" max="9" width="24.42578125" customWidth="1"/>
    <col min="10" max="10" width="21.85546875" customWidth="1"/>
  </cols>
  <sheetData>
    <row r="1" spans="1:11" ht="30" customHeight="1" thickBot="1" x14ac:dyDescent="0.3">
      <c r="A1" s="27"/>
      <c r="B1" s="85" t="s">
        <v>0</v>
      </c>
      <c r="C1" s="85"/>
      <c r="D1" s="85"/>
      <c r="E1" s="85"/>
      <c r="F1" s="85"/>
      <c r="G1" s="85"/>
      <c r="H1" s="84"/>
      <c r="I1" s="84"/>
      <c r="J1" s="28"/>
      <c r="K1" s="29"/>
    </row>
    <row r="2" spans="1:11" ht="48.75" customHeight="1" x14ac:dyDescent="0.25">
      <c r="A2" s="27"/>
      <c r="B2" s="30" t="s">
        <v>1</v>
      </c>
      <c r="C2" s="86" t="s">
        <v>135</v>
      </c>
      <c r="D2" s="87"/>
      <c r="E2" s="36"/>
      <c r="F2" s="53" t="s">
        <v>2</v>
      </c>
      <c r="G2" s="52" t="s">
        <v>149</v>
      </c>
      <c r="H2" s="51" t="s">
        <v>148</v>
      </c>
      <c r="I2" s="52" t="s">
        <v>152</v>
      </c>
      <c r="J2" s="51" t="s">
        <v>153</v>
      </c>
      <c r="K2" s="29"/>
    </row>
    <row r="3" spans="1:11" ht="21.95" customHeight="1" x14ac:dyDescent="0.25">
      <c r="A3" s="27"/>
      <c r="B3" s="31" t="s">
        <v>134</v>
      </c>
      <c r="C3" s="88"/>
      <c r="D3" s="88"/>
      <c r="E3" s="36"/>
      <c r="F3" s="16" t="s">
        <v>4</v>
      </c>
      <c r="G3" s="21">
        <v>0</v>
      </c>
      <c r="H3" s="59">
        <v>0</v>
      </c>
      <c r="I3" s="21">
        <v>0</v>
      </c>
      <c r="J3" s="62">
        <v>0</v>
      </c>
      <c r="K3" s="29"/>
    </row>
    <row r="4" spans="1:11" ht="21.95" customHeight="1" x14ac:dyDescent="0.25">
      <c r="A4" s="27"/>
      <c r="B4" s="31" t="s">
        <v>5</v>
      </c>
      <c r="C4" s="89"/>
      <c r="D4" s="89"/>
      <c r="E4" s="36"/>
      <c r="F4" s="17" t="s">
        <v>6</v>
      </c>
      <c r="G4" s="22">
        <v>0.4</v>
      </c>
      <c r="H4" s="60">
        <v>8100</v>
      </c>
      <c r="I4" s="22">
        <v>0.05</v>
      </c>
      <c r="J4" s="63">
        <v>1948.89</v>
      </c>
      <c r="K4" s="29"/>
    </row>
    <row r="5" spans="1:11" ht="21.95" customHeight="1" x14ac:dyDescent="0.25">
      <c r="A5" s="27"/>
      <c r="B5" s="33" t="s">
        <v>3</v>
      </c>
      <c r="C5" s="44"/>
      <c r="D5" s="34" t="str">
        <f>IF(C5="","",VLOOKUP(C5,DIR_ACTUACION!A2:B100, 2,FALSE))</f>
        <v/>
      </c>
      <c r="E5" s="36"/>
      <c r="F5" s="17" t="s">
        <v>7</v>
      </c>
      <c r="G5" s="22">
        <v>0.65</v>
      </c>
      <c r="H5" s="60">
        <v>14500</v>
      </c>
      <c r="I5" s="22">
        <v>0.1</v>
      </c>
      <c r="J5" s="63">
        <v>3166.94</v>
      </c>
      <c r="K5" s="29"/>
    </row>
    <row r="6" spans="1:11" ht="21.95" customHeight="1" thickBot="1" x14ac:dyDescent="0.3">
      <c r="A6" s="27"/>
      <c r="B6" s="28"/>
      <c r="C6" s="28"/>
      <c r="D6" s="35"/>
      <c r="E6" s="36"/>
      <c r="F6" s="19" t="s">
        <v>8</v>
      </c>
      <c r="G6" s="23">
        <v>0.8</v>
      </c>
      <c r="H6" s="61">
        <v>21400</v>
      </c>
      <c r="I6" s="23">
        <v>0.15</v>
      </c>
      <c r="J6" s="64">
        <v>3897.78</v>
      </c>
      <c r="K6" s="29"/>
    </row>
    <row r="7" spans="1:11" ht="36.75" customHeight="1" x14ac:dyDescent="0.25">
      <c r="A7" s="27"/>
      <c r="B7" s="35"/>
      <c r="C7" s="1" t="s">
        <v>9</v>
      </c>
      <c r="D7" s="44" t="s">
        <v>4</v>
      </c>
      <c r="E7" s="36"/>
      <c r="F7" s="41"/>
      <c r="G7" s="90"/>
      <c r="H7" s="91"/>
      <c r="I7" s="35"/>
      <c r="J7" s="35"/>
      <c r="K7" s="66"/>
    </row>
    <row r="8" spans="1:11" x14ac:dyDescent="0.25">
      <c r="A8" s="27"/>
      <c r="B8" s="35"/>
      <c r="C8" s="35"/>
      <c r="D8" s="35"/>
      <c r="E8" s="36"/>
      <c r="F8" s="41"/>
      <c r="G8" s="92"/>
      <c r="H8" s="93"/>
      <c r="I8" s="35"/>
      <c r="J8" s="35"/>
      <c r="K8" s="66"/>
    </row>
    <row r="9" spans="1:11" ht="36.75" customHeight="1" x14ac:dyDescent="0.25">
      <c r="A9" s="27"/>
      <c r="B9" s="83" t="s">
        <v>10</v>
      </c>
      <c r="C9" s="83"/>
      <c r="D9" s="55" t="str">
        <f>IF(D5="C3","25 %",IF(D5="","","35 %"))</f>
        <v/>
      </c>
      <c r="E9" s="45" t="str">
        <f>IF(C5="","rellenar dirección",LOOKUP(C5, DIR_ACTUACION!A2:A100, DIR_ACTUACION!C2:C100))</f>
        <v>rellenar dirección</v>
      </c>
      <c r="F9" s="35"/>
      <c r="G9" s="35"/>
      <c r="H9" s="35"/>
      <c r="I9" s="35"/>
      <c r="J9" s="35"/>
      <c r="K9" s="66"/>
    </row>
    <row r="10" spans="1:11" ht="20.100000000000001" customHeight="1" x14ac:dyDescent="0.25">
      <c r="A10" s="27"/>
      <c r="B10" s="35"/>
      <c r="C10" s="35"/>
      <c r="D10" s="35"/>
      <c r="E10" s="36"/>
      <c r="F10" s="36" t="s">
        <v>11</v>
      </c>
      <c r="G10" s="36" t="s">
        <v>11</v>
      </c>
      <c r="H10" s="36" t="s">
        <v>12</v>
      </c>
      <c r="I10" s="36"/>
      <c r="J10" s="36"/>
      <c r="K10" s="66"/>
    </row>
    <row r="11" spans="1:11" x14ac:dyDescent="0.25">
      <c r="A11" s="27"/>
      <c r="B11" s="35"/>
      <c r="C11" s="1" t="s">
        <v>154</v>
      </c>
      <c r="D11" s="46">
        <v>0</v>
      </c>
      <c r="E11" s="71" t="e">
        <f>D11/D14</f>
        <v>#DIV/0!</v>
      </c>
      <c r="F11" s="36">
        <f>IF('Cálculo subvención'!E9="No",0,IF('Cálculo subvención'!D12&lt;H14,'Cálculo subvención'!D12,H14))</f>
        <v>0</v>
      </c>
      <c r="G11" s="36">
        <f>IF('Cálculo subvención'!E9="No",0,IF('Cálculo subvención'!E12&lt;I17,'Cálculo subvención'!E12,I17))</f>
        <v>0</v>
      </c>
      <c r="H11" s="36"/>
      <c r="I11" s="36"/>
      <c r="J11" s="36"/>
      <c r="K11" s="66"/>
    </row>
    <row r="12" spans="1:11" x14ac:dyDescent="0.25">
      <c r="A12" s="27"/>
      <c r="B12" s="35"/>
      <c r="C12" s="36" t="str">
        <f>IF(E9='Cálculo subvención'!I12,"",IF(D7='Cálculo subvención'!F3,"",IF(D7='Cálculo subvención'!F4,'Cálculo subvención'!G4,IF(D7='Cálculo subvención'!F5,'Cálculo subvención'!G5,'Cálculo subvención'!G6))))</f>
        <v/>
      </c>
      <c r="D12" s="36" t="str">
        <f>IF(E9="No","",IF(D7='Cálculo subvención'!F4,D11*'Cálculo subvención'!G4,IF(D7='Cálculo subvención'!F5,D11*'Cálculo subvención'!G5,IF(D7='Cálculo subvención'!F6,D11*'Cálculo subvención'!G6,""))))</f>
        <v/>
      </c>
      <c r="E12" s="36" t="str">
        <f>IF(E9="No","",IF(D7='Cálculo subvención'!F4,D11*'Cálculo subvención'!I4,IF(D7='Cálculo subvención'!F5,D11*'Cálculo subvención'!I5,IF(D7='Cálculo subvención'!F6,D11*'Cálculo subvención'!I6,""))))</f>
        <v/>
      </c>
      <c r="F12" s="36"/>
      <c r="G12" s="36"/>
      <c r="H12" s="36"/>
      <c r="I12" s="36"/>
      <c r="J12" s="36"/>
      <c r="K12" s="66"/>
    </row>
    <row r="13" spans="1:11" x14ac:dyDescent="0.25">
      <c r="A13" s="27"/>
      <c r="B13" s="35"/>
      <c r="C13" s="36"/>
      <c r="D13" s="35"/>
      <c r="E13" s="36"/>
      <c r="F13" s="36" t="s">
        <v>13</v>
      </c>
      <c r="G13" s="36"/>
      <c r="H13" s="36" t="s">
        <v>150</v>
      </c>
      <c r="I13" s="36" t="s">
        <v>151</v>
      </c>
      <c r="J13" s="36"/>
      <c r="K13" s="66"/>
    </row>
    <row r="14" spans="1:11" x14ac:dyDescent="0.25">
      <c r="A14" s="27"/>
      <c r="B14" s="35"/>
      <c r="C14" s="1" t="s">
        <v>14</v>
      </c>
      <c r="D14" s="47">
        <v>0</v>
      </c>
      <c r="E14" s="36"/>
      <c r="F14" s="36">
        <f>IF('Cálculo subvención'!D14=0,0,IF(H14&gt;D25,D25/('Cálculo subvención'!D14+0),H14/('Cálculo subvención'!D14+0)))</f>
        <v>0</v>
      </c>
      <c r="G14" s="36"/>
      <c r="H14" s="36">
        <f>IF('Cálculo subvención'!E9="No",0,IF('Cálculo subvención'!D7='Cálculo subvención'!F4,'Cálculo subvención'!D14*'Cálculo subvención'!H4,IF('Cálculo subvención'!D7='Cálculo subvención'!F5,'Cálculo subvención'!D14*'Cálculo subvención'!H5,IF('Cálculo subvención'!D7='Cálculo subvención'!F6,'Cálculo subvención'!D14*'Cálculo subvención'!H6,0))))</f>
        <v>0</v>
      </c>
      <c r="I14" s="36">
        <f>IF('Cálculo subvención'!E9="No",0,IF('Cálculo subvención'!D7='Cálculo subvención'!F4,'Cálculo subvención'!D14*'Cálculo subvención'!J4,IF('Cálculo subvención'!D7='Cálculo subvención'!F5,'Cálculo subvención'!D14*'Cálculo subvención'!J5,IF('Cálculo subvención'!D7='Cálculo subvención'!F6,'Cálculo subvención'!D14*'Cálculo subvención'!J6,0))))</f>
        <v>0</v>
      </c>
      <c r="J14" s="36"/>
      <c r="K14" s="66"/>
    </row>
    <row r="15" spans="1:11" x14ac:dyDescent="0.25">
      <c r="A15" s="27"/>
      <c r="B15" s="35"/>
      <c r="C15" s="36"/>
      <c r="D15" s="35"/>
      <c r="E15" s="36"/>
      <c r="F15" s="36"/>
      <c r="G15" s="36"/>
      <c r="H15" s="36"/>
      <c r="I15" s="36"/>
      <c r="J15" s="36"/>
      <c r="K15" s="66"/>
    </row>
    <row r="16" spans="1:11" x14ac:dyDescent="0.25">
      <c r="A16" s="27"/>
      <c r="B16" s="35"/>
      <c r="C16" s="37" t="s">
        <v>15</v>
      </c>
      <c r="D16" s="103"/>
      <c r="E16" s="36"/>
      <c r="F16" s="36" t="s">
        <v>16</v>
      </c>
      <c r="G16" s="36"/>
      <c r="H16" s="36" t="s">
        <v>17</v>
      </c>
      <c r="I16" s="36"/>
      <c r="J16" s="36"/>
      <c r="K16" s="66"/>
    </row>
    <row r="17" spans="1:11" ht="17.25" x14ac:dyDescent="0.25">
      <c r="A17" s="27"/>
      <c r="B17" s="35"/>
      <c r="C17" s="37" t="s">
        <v>136</v>
      </c>
      <c r="D17" s="104"/>
      <c r="E17" s="36"/>
      <c r="F17" s="36">
        <f>IF('Cálculo subvención'!E9="No",0,IF('Cálculo subvención'!D7='Cálculo subvención'!F4,'Cálculo subvención'!D17*'Cálculo subvención'!K4,IF('Cálculo subvención'!D7='Cálculo subvención'!F5,'Cálculo subvención'!D17*'Cálculo subvención'!K5,IF('Cálculo subvención'!D7='Cálculo subvención'!F6,'Cálculo subvención'!D17*'Cálculo subvención'!K6,0))))</f>
        <v>0</v>
      </c>
      <c r="G17" s="36"/>
      <c r="H17" s="36">
        <f>+H14+F17</f>
        <v>0</v>
      </c>
      <c r="I17" s="36">
        <f>+I14+F17</f>
        <v>0</v>
      </c>
      <c r="J17" s="36"/>
      <c r="K17" s="66"/>
    </row>
    <row r="18" spans="1:11" ht="14.25" customHeight="1" x14ac:dyDescent="0.25">
      <c r="A18" s="27"/>
      <c r="B18" s="78"/>
      <c r="C18" s="79" t="s">
        <v>163</v>
      </c>
      <c r="D18" s="73">
        <v>0</v>
      </c>
      <c r="E18" s="71" t="e">
        <f>D18/D14</f>
        <v>#DIV/0!</v>
      </c>
      <c r="F18" s="36"/>
      <c r="G18" s="36"/>
      <c r="H18" s="36"/>
      <c r="I18" s="36"/>
      <c r="J18" s="36"/>
      <c r="K18" s="66"/>
    </row>
    <row r="19" spans="1:11" x14ac:dyDescent="0.25">
      <c r="A19" s="27"/>
      <c r="B19" s="35"/>
      <c r="C19" s="1" t="s">
        <v>18</v>
      </c>
      <c r="D19" s="46">
        <v>0</v>
      </c>
      <c r="E19" s="36"/>
      <c r="F19" s="36"/>
      <c r="G19" s="36" t="s">
        <v>19</v>
      </c>
      <c r="H19" s="36" t="e">
        <f>IF('Cálculo subvención'!D12+H14&gt;0,IF('Cálculo subvención'!D19&gt;0,IF('Cálculo subvención'!D14&gt;1,IF('Cálculo subvención'!D19&gt;12000,12000,IF('Cálculo subvención'!D19&gt;'Cálculo subvención'!D14*1000, 'Cálculo subvención'!D14*1000,'Cálculo subvención'!D19)),IF('Cálculo subvención'!D19&gt;1000,1000,'Cálculo subvención'!D19)),0),0)</f>
        <v>#VALUE!</v>
      </c>
      <c r="I19" s="36"/>
      <c r="J19" s="36"/>
      <c r="K19" s="66"/>
    </row>
    <row r="20" spans="1:11" x14ac:dyDescent="0.25">
      <c r="A20" s="27"/>
      <c r="B20" s="35"/>
      <c r="C20" s="18" t="s">
        <v>20</v>
      </c>
      <c r="D20" s="20">
        <f>IF(D11&gt;0,IF(D19&gt;0,IF('Cálculo subvención'!H19&gt;H21,H21,'Cálculo subvención'!H19),0),0)</f>
        <v>0</v>
      </c>
      <c r="E20" s="71" t="e">
        <f>D20/D14</f>
        <v>#DIV/0!</v>
      </c>
      <c r="F20" s="36"/>
      <c r="G20" s="36"/>
      <c r="H20" s="36"/>
      <c r="I20" s="36"/>
      <c r="J20" s="36"/>
      <c r="K20" s="66"/>
    </row>
    <row r="21" spans="1:11" ht="20.100000000000001" customHeight="1" thickBot="1" x14ac:dyDescent="0.3">
      <c r="A21" s="27"/>
      <c r="B21" s="35"/>
      <c r="C21" s="36"/>
      <c r="D21" s="36">
        <f>IF(E9="No",0,IF(D12&lt;'Cálculo subvención'!H17,D12+D20,'Cálculo subvención'!H17+D19))</f>
        <v>0</v>
      </c>
      <c r="E21" s="36">
        <f>IF(E9="No",0,IF(E12&lt;'Cálculo subvención'!I17,E12+D20,'Cálculo subvención'!I17+D20))</f>
        <v>0</v>
      </c>
      <c r="F21" s="36"/>
      <c r="G21" s="36" t="s">
        <v>21</v>
      </c>
      <c r="H21" s="36" t="e">
        <f>IF(D12+H14&gt;0,IF(D19&gt;0,IF(D14&gt;0,D14*1000,D19),0),0)</f>
        <v>#VALUE!</v>
      </c>
      <c r="I21" s="36"/>
      <c r="J21" s="36"/>
      <c r="K21" s="66"/>
    </row>
    <row r="22" spans="1:11" ht="17.25" thickTop="1" thickBot="1" x14ac:dyDescent="0.3">
      <c r="A22" s="27"/>
      <c r="B22" s="35"/>
      <c r="C22" s="13" t="str">
        <f>IF(D19=0,IF(D17=0,"Subvención","Subvención Viv+Local"),IF(D17=0,"Subvención Viv+Amianto","Subvención Viv+Local+Amianto"))</f>
        <v>Subvención</v>
      </c>
      <c r="D22" s="48">
        <f>D21+E21</f>
        <v>0</v>
      </c>
      <c r="E22" s="71" t="e">
        <f>D22/D14</f>
        <v>#DIV/0!</v>
      </c>
      <c r="F22" s="36"/>
      <c r="G22" s="36"/>
      <c r="H22" s="36"/>
      <c r="I22" s="36"/>
      <c r="J22" s="36"/>
      <c r="K22" s="66"/>
    </row>
    <row r="23" spans="1:11" ht="17.25" thickTop="1" thickBot="1" x14ac:dyDescent="0.3">
      <c r="A23" s="27"/>
      <c r="B23" s="56"/>
      <c r="C23" s="57" t="s">
        <v>155</v>
      </c>
      <c r="D23" s="58">
        <f>(D11+D18)-(D22-D20)</f>
        <v>0</v>
      </c>
      <c r="E23" s="71" t="e">
        <f>D23/D14</f>
        <v>#DIV/0!</v>
      </c>
      <c r="F23" s="36"/>
      <c r="G23" s="36"/>
      <c r="H23" s="36"/>
      <c r="I23" s="36"/>
      <c r="J23" s="36"/>
      <c r="K23" s="66"/>
    </row>
    <row r="24" spans="1:11" ht="16.5" thickBot="1" x14ac:dyDescent="0.3">
      <c r="A24" s="27"/>
      <c r="B24" s="29"/>
      <c r="C24" s="50" t="s">
        <v>141</v>
      </c>
      <c r="D24" s="54">
        <f>IFERROR(D22/D14,0)</f>
        <v>0</v>
      </c>
      <c r="E24" s="36"/>
      <c r="F24" s="36"/>
      <c r="G24" s="36"/>
      <c r="H24" s="36"/>
      <c r="I24" s="36"/>
      <c r="J24" s="36"/>
      <c r="K24" s="66"/>
    </row>
    <row r="25" spans="1:11" ht="16.5" x14ac:dyDescent="0.3">
      <c r="A25" s="65"/>
      <c r="B25" s="29"/>
      <c r="C25" s="29"/>
      <c r="D25" s="72">
        <f>D11+D23</f>
        <v>0</v>
      </c>
      <c r="E25" s="71" t="e">
        <f>D25/D14</f>
        <v>#DIV/0!</v>
      </c>
      <c r="F25" s="36"/>
      <c r="G25" s="36"/>
      <c r="H25" s="36"/>
      <c r="I25" s="36"/>
      <c r="J25" s="36"/>
      <c r="K25" s="66"/>
    </row>
    <row r="26" spans="1:11" ht="15.75" x14ac:dyDescent="0.25">
      <c r="A26" s="27"/>
      <c r="B26" s="80" t="s">
        <v>139</v>
      </c>
      <c r="C26" s="81"/>
      <c r="D26" s="49">
        <f>+D22*90%</f>
        <v>0</v>
      </c>
      <c r="E26" s="36"/>
      <c r="F26" s="36"/>
      <c r="G26" s="36"/>
      <c r="H26" s="36"/>
      <c r="I26" s="36"/>
      <c r="J26" s="36"/>
      <c r="K26" s="66"/>
    </row>
    <row r="27" spans="1:11" x14ac:dyDescent="0.25">
      <c r="A27" s="27"/>
      <c r="B27" s="28"/>
      <c r="C27" s="28"/>
      <c r="D27" s="35"/>
      <c r="E27" s="36"/>
      <c r="F27" s="36"/>
      <c r="G27" s="36"/>
      <c r="H27" s="36"/>
      <c r="I27" s="36"/>
      <c r="J27" s="36"/>
      <c r="K27" s="66"/>
    </row>
    <row r="28" spans="1:11" s="24" customFormat="1" ht="42" customHeight="1" x14ac:dyDescent="0.25">
      <c r="A28" s="82"/>
      <c r="B28" s="82"/>
      <c r="C28" s="82"/>
      <c r="D28" s="82"/>
      <c r="E28" s="82"/>
      <c r="F28" s="35"/>
      <c r="G28" s="35"/>
      <c r="H28" s="35"/>
      <c r="I28" s="35"/>
      <c r="J28" s="35"/>
      <c r="K28" s="66"/>
    </row>
    <row r="29" spans="1:11" s="2" customFormat="1" ht="21" customHeight="1" x14ac:dyDescent="0.25">
      <c r="A29" s="38" t="s">
        <v>22</v>
      </c>
      <c r="B29" s="28"/>
      <c r="C29" s="28"/>
      <c r="D29" s="28"/>
      <c r="E29" s="28"/>
      <c r="F29" s="28"/>
      <c r="G29" s="28"/>
      <c r="H29" s="28"/>
      <c r="I29" s="28"/>
      <c r="J29" s="28"/>
      <c r="K29" s="40"/>
    </row>
    <row r="30" spans="1:11" s="2" customFormat="1" x14ac:dyDescent="0.25">
      <c r="A30" s="38" t="s">
        <v>23</v>
      </c>
      <c r="B30" s="28"/>
      <c r="C30" s="28"/>
      <c r="D30" s="28"/>
      <c r="E30" s="28"/>
      <c r="F30" s="28"/>
      <c r="G30" s="28"/>
      <c r="H30" s="28"/>
      <c r="I30" s="28"/>
      <c r="J30" s="28"/>
      <c r="K30" s="40"/>
    </row>
    <row r="31" spans="1:11" x14ac:dyDescent="0.25">
      <c r="A31" s="38" t="s">
        <v>24</v>
      </c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1:11" x14ac:dyDescent="0.25">
      <c r="A32" s="38" t="s">
        <v>25</v>
      </c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1:11" x14ac:dyDescent="0.25">
      <c r="A33" s="38" t="s">
        <v>26</v>
      </c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1:11" x14ac:dyDescent="0.25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</row>
    <row r="36" spans="1:11" x14ac:dyDescent="0.25">
      <c r="G36" s="25">
        <v>8100</v>
      </c>
      <c r="H36" s="25">
        <v>1948.89</v>
      </c>
      <c r="I36" s="25">
        <f>SUM(G36:H36)</f>
        <v>10048.89</v>
      </c>
    </row>
    <row r="37" spans="1:11" x14ac:dyDescent="0.25">
      <c r="G37" s="25">
        <v>14500</v>
      </c>
      <c r="H37" s="25">
        <v>3166.94</v>
      </c>
      <c r="I37" s="25">
        <f t="shared" ref="I37:I38" si="0">SUM(G37:H37)</f>
        <v>17666.939999999999</v>
      </c>
    </row>
    <row r="38" spans="1:11" x14ac:dyDescent="0.25">
      <c r="G38" s="25">
        <v>3897.78</v>
      </c>
      <c r="H38" s="25">
        <v>21400</v>
      </c>
      <c r="I38" s="25">
        <f t="shared" si="0"/>
        <v>25297.78</v>
      </c>
    </row>
    <row r="39" spans="1:11" x14ac:dyDescent="0.25">
      <c r="G39" s="25"/>
      <c r="H39" s="25"/>
      <c r="I39" s="25"/>
    </row>
  </sheetData>
  <sheetProtection algorithmName="SHA-512" hashValue="3N1cgrDTNiq6JSVScdnHlekIw+rXruR2CZbbA3cRhbYzZo7FtkJ25YT3+b4v4pC21W9qlur4wU9nC1aHJFd2qg==" saltValue="MjELgf1tZKStppax3j5IvQ==" spinCount="100000" sheet="1" objects="1" scenarios="1"/>
  <mergeCells count="10">
    <mergeCell ref="B26:C26"/>
    <mergeCell ref="A28:E28"/>
    <mergeCell ref="B9:C9"/>
    <mergeCell ref="H1:I1"/>
    <mergeCell ref="B1:G1"/>
    <mergeCell ref="C2:D2"/>
    <mergeCell ref="C3:D3"/>
    <mergeCell ref="C4:D4"/>
    <mergeCell ref="G7:H7"/>
    <mergeCell ref="G8:H8"/>
  </mergeCells>
  <dataValidations count="3">
    <dataValidation type="whole" allowBlank="1" showInputMessage="1" showErrorMessage="1" error="Valor entre 1 y 99" sqref="F24:F25 E19">
      <formula1>1</formula1>
      <formula2>100</formula2>
    </dataValidation>
    <dataValidation type="whole" allowBlank="1" showInputMessage="1" showErrorMessage="1" error="Valor entre 1 y 99" sqref="D14">
      <formula1>0</formula1>
      <formula2>100</formula2>
    </dataValidation>
    <dataValidation type="list" allowBlank="1" showInputMessage="1" showErrorMessage="1" sqref="D7">
      <formula1>$F$3:$F$6</formula1>
    </dataValidation>
  </dataValidations>
  <printOptions headings="1" gridLines="1"/>
  <pageMargins left="0.19685039370078741" right="0.70866141732283472" top="0.74803149606299213" bottom="0.74803149606299213" header="0.31496062992125984" footer="0.31496062992125984"/>
  <pageSetup paperSize="9" scale="72" fitToWidth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DIR_ACTUACION!$A$1:$A$100</xm:f>
          </x14:formula1>
          <xm:sqref>C5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5"/>
  <sheetViews>
    <sheetView zoomScale="120" zoomScaleNormal="120" workbookViewId="0">
      <selection activeCell="D13" sqref="D13"/>
    </sheetView>
  </sheetViews>
  <sheetFormatPr baseColWidth="10" defaultColWidth="11.42578125" defaultRowHeight="15" x14ac:dyDescent="0.25"/>
  <cols>
    <col min="1" max="1" width="8.5703125" customWidth="1"/>
    <col min="2" max="2" width="18.85546875" customWidth="1"/>
    <col min="3" max="3" width="41.85546875" customWidth="1"/>
    <col min="4" max="4" width="25.7109375" customWidth="1"/>
    <col min="5" max="5" width="15.7109375" customWidth="1"/>
    <col min="6" max="7" width="24.42578125" customWidth="1"/>
    <col min="8" max="8" width="10.28515625" customWidth="1"/>
    <col min="9" max="9" width="6.7109375" customWidth="1"/>
    <col min="10" max="10" width="13.5703125" customWidth="1"/>
    <col min="11" max="11" width="6.140625" customWidth="1"/>
  </cols>
  <sheetData>
    <row r="1" spans="1:13" ht="24.95" customHeight="1" thickBot="1" x14ac:dyDescent="0.3">
      <c r="A1" s="35"/>
      <c r="B1" s="85" t="s">
        <v>27</v>
      </c>
      <c r="C1" s="85"/>
      <c r="D1" s="85"/>
      <c r="E1" s="85"/>
      <c r="F1" s="85"/>
      <c r="G1" s="35"/>
      <c r="H1" s="35"/>
      <c r="I1" s="35"/>
      <c r="J1" s="35"/>
      <c r="K1" s="35"/>
    </row>
    <row r="2" spans="1:13" ht="30" customHeight="1" x14ac:dyDescent="0.25">
      <c r="A2" s="35"/>
      <c r="B2" s="39" t="s">
        <v>1</v>
      </c>
      <c r="C2" s="94" t="str">
        <f>IF('Cálculo subvención'!C2:D2="","",'Cálculo subvención'!C2:D2)</f>
        <v xml:space="preserve">San Pedro- Entorno del Carmen </v>
      </c>
      <c r="D2" s="95"/>
      <c r="E2" s="36"/>
      <c r="F2" s="3" t="s">
        <v>2</v>
      </c>
      <c r="G2" s="4" t="s">
        <v>28</v>
      </c>
      <c r="H2" s="35"/>
      <c r="I2" s="96" t="s">
        <v>147</v>
      </c>
      <c r="J2" s="97"/>
      <c r="K2" s="35"/>
    </row>
    <row r="3" spans="1:13" ht="21.95" customHeight="1" x14ac:dyDescent="0.25">
      <c r="A3" s="35"/>
      <c r="B3" s="31" t="s">
        <v>134</v>
      </c>
      <c r="C3" s="88"/>
      <c r="D3" s="88"/>
      <c r="E3" s="36"/>
      <c r="F3" s="5" t="s">
        <v>4</v>
      </c>
      <c r="G3" s="8"/>
      <c r="H3" s="35"/>
      <c r="I3" s="11">
        <v>2023</v>
      </c>
      <c r="J3" s="14">
        <v>8400</v>
      </c>
      <c r="K3" s="35"/>
    </row>
    <row r="4" spans="1:13" ht="21.95" customHeight="1" x14ac:dyDescent="0.25">
      <c r="A4" s="35"/>
      <c r="B4" s="31" t="s">
        <v>5</v>
      </c>
      <c r="C4" s="89"/>
      <c r="D4" s="89"/>
      <c r="E4" s="36"/>
      <c r="F4" s="6" t="s">
        <v>6</v>
      </c>
      <c r="G4" s="9">
        <v>12150</v>
      </c>
      <c r="H4" s="35"/>
      <c r="I4" s="6">
        <v>2024</v>
      </c>
      <c r="J4" s="15">
        <v>8400</v>
      </c>
      <c r="K4" s="35"/>
    </row>
    <row r="5" spans="1:13" ht="21.95" customHeight="1" thickBot="1" x14ac:dyDescent="0.3">
      <c r="A5" s="35"/>
      <c r="B5" s="33" t="s">
        <v>3</v>
      </c>
      <c r="C5" s="44"/>
      <c r="D5" s="34" t="str">
        <f>IF(C5="","",VLOOKUP(C5,DIR_ACTUACION!A2:B100, 2,FALSE))</f>
        <v/>
      </c>
      <c r="E5" s="36"/>
      <c r="F5" s="6" t="s">
        <v>7</v>
      </c>
      <c r="G5" s="9">
        <v>7808</v>
      </c>
      <c r="H5" s="35"/>
      <c r="I5" s="7">
        <v>2025</v>
      </c>
      <c r="J5" s="74">
        <v>8400</v>
      </c>
      <c r="K5" s="35"/>
    </row>
    <row r="6" spans="1:13" ht="21.95" customHeight="1" thickBot="1" x14ac:dyDescent="0.3">
      <c r="A6" s="35"/>
      <c r="B6" s="28"/>
      <c r="C6" s="28"/>
      <c r="D6" s="35"/>
      <c r="E6" s="36"/>
      <c r="F6" s="7" t="s">
        <v>8</v>
      </c>
      <c r="G6" s="10">
        <v>5350</v>
      </c>
      <c r="H6" s="35"/>
      <c r="I6" s="36" t="s">
        <v>137</v>
      </c>
      <c r="J6" s="36" t="s">
        <v>138</v>
      </c>
      <c r="K6" s="35"/>
      <c r="L6" s="12"/>
      <c r="M6" s="12"/>
    </row>
    <row r="7" spans="1:13" x14ac:dyDescent="0.25">
      <c r="A7" s="35"/>
      <c r="B7" s="98" t="s">
        <v>30</v>
      </c>
      <c r="C7" s="99"/>
      <c r="D7" s="67"/>
      <c r="E7" s="36"/>
      <c r="F7" s="36"/>
      <c r="G7" s="36"/>
      <c r="H7" s="36"/>
      <c r="I7" s="36" t="s">
        <v>137</v>
      </c>
      <c r="J7" s="36" t="s">
        <v>138</v>
      </c>
      <c r="K7" s="36"/>
      <c r="L7" s="12"/>
      <c r="M7" s="12"/>
    </row>
    <row r="8" spans="1:13" x14ac:dyDescent="0.25">
      <c r="A8" s="35"/>
      <c r="B8" s="28"/>
      <c r="C8" s="28"/>
      <c r="D8" s="35"/>
      <c r="E8" s="36"/>
      <c r="F8" s="36"/>
      <c r="G8" s="36">
        <f>IF('Cálculo subvención'!E9="No",0,IF('Cálculo subvención'!D7='Cálculo subvención'!F3,0,IF('Cálculo subvención'!D7='Cálculo subvención'!F4,Vulnerabilidad!G4,IF('Cálculo subvención'!D7='Cálculo subvención'!F5,Vulnerabilidad!G5,Vulnerabilidad!G6))))</f>
        <v>0</v>
      </c>
      <c r="H8" s="36"/>
      <c r="I8" s="36">
        <v>0</v>
      </c>
      <c r="J8" s="36">
        <v>0</v>
      </c>
      <c r="K8" s="36"/>
      <c r="L8" s="12"/>
      <c r="M8" s="12"/>
    </row>
    <row r="9" spans="1:13" x14ac:dyDescent="0.25">
      <c r="A9" s="35"/>
      <c r="B9" s="100" t="s">
        <v>31</v>
      </c>
      <c r="C9" s="101"/>
      <c r="D9" s="68">
        <v>0</v>
      </c>
      <c r="E9" s="36"/>
      <c r="F9" s="36"/>
      <c r="G9" s="36"/>
      <c r="H9" s="36"/>
      <c r="I9" s="36">
        <v>1</v>
      </c>
      <c r="J9" s="36">
        <v>1</v>
      </c>
      <c r="K9" s="36"/>
      <c r="L9" s="12"/>
      <c r="M9" s="12"/>
    </row>
    <row r="10" spans="1:13" x14ac:dyDescent="0.25">
      <c r="A10" s="35"/>
      <c r="B10" s="28"/>
      <c r="C10" s="28"/>
      <c r="D10" s="35"/>
      <c r="E10" s="36"/>
      <c r="F10" s="36"/>
      <c r="G10" s="36"/>
      <c r="H10" s="36"/>
      <c r="I10" s="36">
        <v>2</v>
      </c>
      <c r="J10" s="36" t="s">
        <v>32</v>
      </c>
      <c r="K10" s="36"/>
      <c r="L10" s="12"/>
      <c r="M10" s="12"/>
    </row>
    <row r="11" spans="1:13" x14ac:dyDescent="0.25">
      <c r="A11" s="35"/>
      <c r="B11" s="98" t="s">
        <v>33</v>
      </c>
      <c r="C11" s="99"/>
      <c r="D11" s="67">
        <v>0</v>
      </c>
      <c r="E11" s="36"/>
      <c r="F11" s="36"/>
      <c r="G11" s="36"/>
      <c r="H11" s="36"/>
      <c r="I11" s="36" t="s">
        <v>34</v>
      </c>
      <c r="J11" s="36"/>
      <c r="K11" s="36"/>
      <c r="L11" s="12"/>
      <c r="M11" s="12"/>
    </row>
    <row r="12" spans="1:13" x14ac:dyDescent="0.25">
      <c r="A12" s="35"/>
      <c r="B12" s="28"/>
      <c r="C12" s="28"/>
      <c r="D12" s="35"/>
      <c r="E12" s="36"/>
      <c r="F12" s="36"/>
      <c r="G12" s="36"/>
      <c r="H12" s="36"/>
      <c r="I12" s="36"/>
      <c r="J12" s="36"/>
      <c r="K12" s="36"/>
      <c r="L12" s="12"/>
      <c r="M12" s="12"/>
    </row>
    <row r="13" spans="1:13" x14ac:dyDescent="0.25">
      <c r="A13" s="35"/>
      <c r="B13" s="98" t="s">
        <v>35</v>
      </c>
      <c r="C13" s="99"/>
      <c r="D13" s="67">
        <v>0</v>
      </c>
      <c r="E13" s="36"/>
      <c r="F13" s="36" t="s">
        <v>29</v>
      </c>
      <c r="G13" s="36" t="str">
        <f>IF(Vulnerabilidad!D7=Vulnerabilidad!I27,"",IF(Vulnerabilidad!D7=Vulnerabilidad!I3,Vulnerabilidad!J3,IF(Vulnerabilidad!D7=Vulnerabilidad!I4,Vulnerabilidad!J4,IF(Vulnerabilidad!D7=Vulnerabilidad!I5,Vulnerabilidad!J5,IF(Vulnerabilidad!D7=Vulnerabilidad!I6,Vulnerabilidad!J6)))))</f>
        <v/>
      </c>
      <c r="H13" s="36"/>
      <c r="I13" s="36"/>
      <c r="J13" s="36"/>
      <c r="K13" s="36"/>
      <c r="L13" s="12"/>
      <c r="M13" s="12"/>
    </row>
    <row r="14" spans="1:13" x14ac:dyDescent="0.25">
      <c r="A14" s="35"/>
      <c r="B14" s="28"/>
      <c r="C14" s="28"/>
      <c r="D14" s="35"/>
      <c r="E14" s="36"/>
      <c r="F14" s="36"/>
      <c r="G14" s="36"/>
      <c r="H14" s="36"/>
      <c r="I14" s="36"/>
      <c r="J14" s="36"/>
      <c r="K14" s="36"/>
      <c r="L14" s="12"/>
      <c r="M14" s="12"/>
    </row>
    <row r="15" spans="1:13" x14ac:dyDescent="0.25">
      <c r="A15" s="35"/>
      <c r="B15" s="28"/>
      <c r="C15" s="32" t="s">
        <v>36</v>
      </c>
      <c r="D15" s="69" t="str">
        <f>IF(D7="","No tiene vulnerabilidad",IF(Vulnerabilidad!G18+Vulnerabilidad!I18&gt;0,"3 veces IPREM",IF(Vulnerabilidad!G17+Vulnerabilidad!I17&gt;0,"2,5 veces IPREM",IF(Vulnerabilidad!G16+Vulnerabilidad!I16&gt;0,"2 veces IPREM",IF(Vulnerabilidad!G15+Vulnerabilidad!I15&gt;0,"1,5 veces IPREM","No tiene vulnerabilidad")))))</f>
        <v>No tiene vulnerabilidad</v>
      </c>
      <c r="E15" s="36"/>
      <c r="F15" s="36">
        <f>IF(G8&gt;0,IF(Vulnerabilidad!D11=0,IF(Vulnerabilidad!D13=0,IF(Vulnerabilidad!D9&gt;Vulnerabilidad!J3*1.5,"No","Sí"),"No"),"No"),0)</f>
        <v>0</v>
      </c>
      <c r="G15" s="36">
        <f>IF(Vulnerabilidad!D7="",0,IF(Vulnerabilidad!D11=0,IF(Vulnerabilidad!D9&gt;G13*1.5,0,G13*1.5),0))</f>
        <v>0</v>
      </c>
      <c r="H15" s="36"/>
      <c r="I15" s="36">
        <f>IF(Vulnerabilidad!D7="",0,IF(Vulnerabilidad!D13=0,IF(Vulnerabilidad!D9&gt;G13*2,0,G13*2),0))</f>
        <v>0</v>
      </c>
      <c r="J15" s="36">
        <v>2023</v>
      </c>
      <c r="K15" s="36"/>
      <c r="L15" s="12"/>
      <c r="M15" s="12"/>
    </row>
    <row r="16" spans="1:13" x14ac:dyDescent="0.25">
      <c r="A16" s="35"/>
      <c r="B16" s="28"/>
      <c r="C16" s="28"/>
      <c r="D16" s="35"/>
      <c r="E16" s="36"/>
      <c r="F16" s="36">
        <f>IF(G8&gt;0,IF(Vulnerabilidad!D11=1,IF(Vulnerabilidad!D13=1,IF(Vulnerabilidad!D9&gt;Vulnerabilidad!J3*2,"No","Sí"),"No"),"No"),0)</f>
        <v>0</v>
      </c>
      <c r="G16" s="36">
        <f>IF(Vulnerabilidad!D7="",0,IF(Vulnerabilidad!D11=1,IF(Vulnerabilidad!D9&gt;G13*2,0,G13*2),0))</f>
        <v>0</v>
      </c>
      <c r="H16" s="36"/>
      <c r="I16" s="36">
        <f>IF(Vulnerabilidad!D7="",0,IF(Vulnerabilidad!D13=1,IF(Vulnerabilidad!D9&gt;G13*2.5,0,G13*2.5),0))</f>
        <v>0</v>
      </c>
      <c r="J16" s="36">
        <v>2024</v>
      </c>
      <c r="K16" s="36"/>
      <c r="L16" s="12"/>
      <c r="M16" s="12"/>
    </row>
    <row r="17" spans="1:13" x14ac:dyDescent="0.25">
      <c r="A17" s="35"/>
      <c r="B17" s="28"/>
      <c r="C17" s="28"/>
      <c r="D17" s="35"/>
      <c r="E17" s="36"/>
      <c r="F17" s="36">
        <f>IF(G8&gt;0,IF(Vulnerabilidad!D11=2,IF(Vulnerabilidad!D13="2 o más",IF(Vulnerabilidad!D9&gt;Vulnerabilidad!J3*2.5,"No","Sí"),"No"),"No"),0)</f>
        <v>0</v>
      </c>
      <c r="G17" s="36">
        <f>IF(Vulnerabilidad!D7="",0,IF(Vulnerabilidad!D11=2,IF(Vulnerabilidad!D9&gt;G13*2.5,0,G13*2.5),0))</f>
        <v>0</v>
      </c>
      <c r="H17" s="36"/>
      <c r="I17" s="36">
        <f>IF(Vulnerabilidad!D7="",0,IF(Vulnerabilidad!D13=J10,IF(Vulnerabilidad!D9&gt;G13*3,0,G13*3),0))</f>
        <v>0</v>
      </c>
      <c r="J17" s="36">
        <v>2025</v>
      </c>
      <c r="K17" s="36"/>
      <c r="L17" s="12"/>
      <c r="M17" s="12"/>
    </row>
    <row r="18" spans="1:13" s="2" customFormat="1" x14ac:dyDescent="0.25">
      <c r="A18" s="35"/>
      <c r="B18" s="28"/>
      <c r="C18" s="32" t="s">
        <v>160</v>
      </c>
      <c r="D18" s="70">
        <f>IF(D15="No tiene vulnerabilidad",0,IF(Vulnerabilidad!G8&gt;Vulnerabilidad!G20,Vulnerabilidad!G20,Vulnerabilidad!G8))</f>
        <v>0</v>
      </c>
      <c r="E18" s="36"/>
      <c r="F18" s="36"/>
      <c r="G18" s="36">
        <f>IF(Vulnerabilidad!D7="",0,IF(Vulnerabilidad!D11=I11,IF(Vulnerabilidad!D9&gt;G13*3,0,G13*3),0))</f>
        <v>0</v>
      </c>
      <c r="H18" s="36"/>
      <c r="I18" s="36">
        <f>IF(Vulnerabilidad!D8="",0,IF(Vulnerabilidad!D14=J11,IF(Vulnerabilidad!D10&gt;G14*2.7,0,G14*2.7),0))</f>
        <v>0</v>
      </c>
      <c r="J18" s="36">
        <v>2026</v>
      </c>
      <c r="K18" s="36"/>
      <c r="L18" s="12"/>
      <c r="M18" s="12"/>
    </row>
    <row r="19" spans="1:13" s="2" customFormat="1" ht="15.75" thickBot="1" x14ac:dyDescent="0.3">
      <c r="A19" s="35"/>
      <c r="B19" s="28"/>
      <c r="C19" s="28"/>
      <c r="D19" s="35"/>
      <c r="E19" s="36"/>
      <c r="F19" s="36" t="s">
        <v>162</v>
      </c>
      <c r="G19" s="36" t="e">
        <f>('Cálculo subvención'!D11+'Cálculo subvención'!D18)/'Cálculo subvención'!D14</f>
        <v>#DIV/0!</v>
      </c>
      <c r="H19" s="36"/>
      <c r="I19" s="36"/>
      <c r="J19" s="36"/>
      <c r="K19" s="36"/>
      <c r="L19" s="12"/>
      <c r="M19" s="12"/>
    </row>
    <row r="20" spans="1:13" s="2" customFormat="1" ht="17.25" thickTop="1" thickBot="1" x14ac:dyDescent="0.3">
      <c r="A20" s="35"/>
      <c r="B20" s="28"/>
      <c r="C20" s="13" t="s">
        <v>157</v>
      </c>
      <c r="D20" s="43">
        <f>IF(D18&gt;0,(IF(G22&gt;G8,G8,G22)),0)</f>
        <v>0</v>
      </c>
      <c r="E20" s="36"/>
      <c r="F20" s="36" t="s">
        <v>161</v>
      </c>
      <c r="G20" s="36">
        <f>IF(G8&gt;0,'Cálculo subvención'!E22,0)</f>
        <v>0</v>
      </c>
      <c r="H20" s="36"/>
      <c r="I20" s="36"/>
      <c r="J20" s="36"/>
      <c r="K20" s="36"/>
      <c r="L20" s="12"/>
      <c r="M20" s="12"/>
    </row>
    <row r="21" spans="1:13" s="2" customFormat="1" ht="15.75" thickTop="1" x14ac:dyDescent="0.25">
      <c r="A21" s="35"/>
      <c r="B21" s="28"/>
      <c r="C21" s="28"/>
      <c r="D21" s="28"/>
      <c r="E21" s="36"/>
      <c r="F21" s="36" t="s">
        <v>164</v>
      </c>
      <c r="G21" s="71" t="e">
        <f>(G8-G22)</f>
        <v>#DIV/0!</v>
      </c>
      <c r="H21" s="36"/>
      <c r="I21" s="36"/>
      <c r="J21" s="36"/>
      <c r="K21" s="36"/>
      <c r="L21" s="12"/>
      <c r="M21" s="12"/>
    </row>
    <row r="22" spans="1:13" s="2" customFormat="1" x14ac:dyDescent="0.25">
      <c r="A22" s="40"/>
      <c r="B22" s="40"/>
      <c r="C22" s="40"/>
      <c r="D22" s="40"/>
      <c r="E22" s="42"/>
      <c r="F22" s="36" t="s">
        <v>165</v>
      </c>
      <c r="G22" s="42" t="e">
        <f>'Cálculo subvención'!E23</f>
        <v>#DIV/0!</v>
      </c>
      <c r="H22" s="42"/>
      <c r="I22" s="42"/>
      <c r="J22" s="42"/>
      <c r="K22" s="42"/>
      <c r="L22" s="12"/>
      <c r="M22" s="12"/>
    </row>
    <row r="23" spans="1:13" s="2" customFormat="1" x14ac:dyDescent="0.25">
      <c r="A23" s="40"/>
      <c r="B23" s="40"/>
      <c r="C23" s="40"/>
      <c r="D23" s="40"/>
      <c r="E23" s="42"/>
      <c r="F23" s="42"/>
      <c r="G23" s="42"/>
      <c r="H23" s="42"/>
      <c r="I23" s="42"/>
      <c r="J23" s="42"/>
      <c r="K23" s="42"/>
      <c r="L23" s="12"/>
      <c r="M23" s="12"/>
    </row>
    <row r="24" spans="1:13" s="2" customFormat="1" ht="39.75" customHeight="1" x14ac:dyDescent="0.25">
      <c r="A24" s="102"/>
      <c r="B24" s="102"/>
      <c r="C24" s="102"/>
      <c r="D24" s="102"/>
      <c r="E24" s="102"/>
      <c r="F24" s="40"/>
      <c r="G24" s="40"/>
      <c r="H24" s="40"/>
      <c r="I24" s="40"/>
      <c r="J24" s="40"/>
      <c r="K24" s="40"/>
    </row>
    <row r="25" spans="1:13" s="2" customFormat="1" x14ac:dyDescent="0.25">
      <c r="A25" s="75" t="s">
        <v>158</v>
      </c>
      <c r="B25" s="38" t="s">
        <v>159</v>
      </c>
      <c r="C25" s="76"/>
      <c r="D25" s="76"/>
      <c r="E25" s="76"/>
      <c r="F25" s="76"/>
      <c r="G25" s="76"/>
      <c r="H25" s="76"/>
      <c r="I25" s="76"/>
      <c r="J25" s="76"/>
      <c r="K25" s="76"/>
    </row>
    <row r="26" spans="1:13" s="2" customFormat="1" ht="21" customHeight="1" x14ac:dyDescent="0.25">
      <c r="A26" s="38" t="s">
        <v>156</v>
      </c>
      <c r="B26" s="28"/>
      <c r="C26" s="28"/>
      <c r="D26" s="28"/>
      <c r="E26" s="28"/>
      <c r="F26" s="28"/>
      <c r="G26" s="28"/>
      <c r="H26" s="28"/>
      <c r="I26" s="28"/>
      <c r="J26" s="28"/>
      <c r="K26" s="76"/>
    </row>
    <row r="27" spans="1:13" s="2" customFormat="1" x14ac:dyDescent="0.25">
      <c r="A27" s="38" t="s">
        <v>23</v>
      </c>
      <c r="B27" s="28"/>
      <c r="C27" s="28"/>
      <c r="D27" s="28"/>
      <c r="E27" s="28"/>
      <c r="F27" s="28"/>
      <c r="G27" s="28"/>
      <c r="H27" s="28"/>
      <c r="I27" s="28"/>
      <c r="J27" s="28"/>
      <c r="K27" s="76"/>
    </row>
    <row r="28" spans="1:13" x14ac:dyDescent="0.25">
      <c r="A28" s="38" t="s">
        <v>24</v>
      </c>
      <c r="B28" s="28"/>
      <c r="C28" s="28"/>
      <c r="D28" s="28"/>
      <c r="E28" s="28"/>
      <c r="F28" s="28"/>
      <c r="G28" s="28"/>
      <c r="H28" s="28"/>
      <c r="I28" s="28"/>
      <c r="J28" s="28"/>
      <c r="K28" s="77"/>
    </row>
    <row r="29" spans="1:13" x14ac:dyDescent="0.25">
      <c r="A29" s="38" t="s">
        <v>25</v>
      </c>
      <c r="B29" s="28"/>
      <c r="C29" s="28"/>
      <c r="D29" s="28"/>
      <c r="E29" s="28"/>
      <c r="F29" s="28"/>
      <c r="G29" s="28"/>
      <c r="H29" s="28"/>
      <c r="I29" s="28"/>
      <c r="J29" s="28"/>
      <c r="K29" s="77"/>
    </row>
    <row r="30" spans="1:13" s="2" customFormat="1" x14ac:dyDescent="0.25"/>
    <row r="31" spans="1:13" s="2" customFormat="1" x14ac:dyDescent="0.25"/>
    <row r="32" spans="1:13" s="2" customFormat="1" x14ac:dyDescent="0.25"/>
    <row r="33" s="2" customFormat="1" x14ac:dyDescent="0.25"/>
    <row r="34" s="2" customFormat="1" x14ac:dyDescent="0.25"/>
    <row r="35" s="2" customFormat="1" x14ac:dyDescent="0.25"/>
    <row r="36" s="2" customFormat="1" x14ac:dyDescent="0.25"/>
    <row r="37" s="2" customFormat="1" x14ac:dyDescent="0.25"/>
    <row r="38" s="2" customFormat="1" x14ac:dyDescent="0.25"/>
    <row r="39" s="2" customFormat="1" x14ac:dyDescent="0.25"/>
    <row r="40" s="2" customFormat="1" x14ac:dyDescent="0.25"/>
    <row r="41" s="2" customFormat="1" x14ac:dyDescent="0.25"/>
    <row r="42" s="2" customFormat="1" x14ac:dyDescent="0.25"/>
    <row r="43" s="2" customFormat="1" x14ac:dyDescent="0.25"/>
    <row r="44" s="2" customFormat="1" x14ac:dyDescent="0.25"/>
    <row r="45" s="2" customFormat="1" x14ac:dyDescent="0.25"/>
    <row r="46" s="2" customFormat="1" x14ac:dyDescent="0.25"/>
    <row r="47" s="2" customFormat="1" x14ac:dyDescent="0.25"/>
    <row r="48" s="2" customFormat="1" x14ac:dyDescent="0.25"/>
    <row r="49" s="2" customForma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  <row r="70" s="2" customFormat="1" x14ac:dyDescent="0.25"/>
    <row r="71" s="2" customFormat="1" x14ac:dyDescent="0.25"/>
    <row r="72" s="2" customFormat="1" x14ac:dyDescent="0.25"/>
    <row r="73" s="2" customFormat="1" x14ac:dyDescent="0.25"/>
    <row r="74" s="2" customFormat="1" x14ac:dyDescent="0.25"/>
    <row r="75" s="2" customFormat="1" x14ac:dyDescent="0.25"/>
  </sheetData>
  <sheetProtection algorithmName="SHA-512" hashValue="SyMxEM/ruEqAUYDQvtV6o0p4BODD2HH6vkREkdxrD4CkWPL0utf3WxVG0pIyhIsMPwPMD2B3C7t6NDjlI60dCQ==" saltValue="rPIkWrsYosA+Jh2u03WhyA==" spinCount="100000" sheet="1" objects="1" scenarios="1"/>
  <mergeCells count="10">
    <mergeCell ref="B11:C11"/>
    <mergeCell ref="B7:C7"/>
    <mergeCell ref="B9:C9"/>
    <mergeCell ref="B13:C13"/>
    <mergeCell ref="A24:E24"/>
    <mergeCell ref="C3:D3"/>
    <mergeCell ref="C4:D4"/>
    <mergeCell ref="C2:D2"/>
    <mergeCell ref="I2:J2"/>
    <mergeCell ref="B1:F1"/>
  </mergeCells>
  <conditionalFormatting sqref="D15">
    <cfRule type="containsText" dxfId="0" priority="1" operator="containsText" text="No tiene vulnerabilidad">
      <formula>NOT(ISERROR(SEARCH("No tiene vulnerabilidad",D15)))</formula>
    </cfRule>
  </conditionalFormatting>
  <dataValidations count="3">
    <dataValidation type="list" allowBlank="1" showInputMessage="1" showErrorMessage="1" sqref="D7">
      <formula1>$J$14:$J$18</formula1>
    </dataValidation>
    <dataValidation type="list" allowBlank="1" showInputMessage="1" showErrorMessage="1" sqref="D11">
      <formula1>$I$8:$I$11</formula1>
    </dataValidation>
    <dataValidation type="list" allowBlank="1" showInputMessage="1" showErrorMessage="1" sqref="D13">
      <formula1>$J$8:$J$10</formula1>
    </dataValidation>
  </dataValidations>
  <printOptions headings="1" gridLines="1"/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DIR_ACTUACION!$A$1:$A$100</xm:f>
          </x14:formula1>
          <xm:sqref>C5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workbookViewId="0">
      <selection activeCell="B36" sqref="B36"/>
    </sheetView>
  </sheetViews>
  <sheetFormatPr baseColWidth="10" defaultRowHeight="15" x14ac:dyDescent="0.25"/>
  <cols>
    <col min="1" max="1" width="37.28515625" style="26" customWidth="1"/>
    <col min="2" max="2" width="12.5703125" style="26" customWidth="1"/>
    <col min="3" max="3" width="17.28515625" style="26" customWidth="1"/>
    <col min="4" max="16384" width="11.42578125" style="26"/>
  </cols>
  <sheetData>
    <row r="1" spans="1:3" x14ac:dyDescent="0.25">
      <c r="B1" s="26" t="s">
        <v>37</v>
      </c>
      <c r="C1" s="26" t="s">
        <v>38</v>
      </c>
    </row>
    <row r="2" spans="1:3" x14ac:dyDescent="0.25">
      <c r="A2" s="26" t="s">
        <v>142</v>
      </c>
      <c r="B2" s="26">
        <v>1</v>
      </c>
      <c r="C2" s="26" t="s">
        <v>140</v>
      </c>
    </row>
    <row r="3" spans="1:3" x14ac:dyDescent="0.25">
      <c r="A3" s="26" t="s">
        <v>143</v>
      </c>
      <c r="B3" s="26">
        <v>2</v>
      </c>
      <c r="C3" s="26" t="s">
        <v>140</v>
      </c>
    </row>
    <row r="4" spans="1:3" x14ac:dyDescent="0.25">
      <c r="A4" s="26" t="s">
        <v>144</v>
      </c>
      <c r="B4" s="26">
        <v>3</v>
      </c>
      <c r="C4" s="26" t="s">
        <v>140</v>
      </c>
    </row>
    <row r="5" spans="1:3" x14ac:dyDescent="0.25">
      <c r="A5" s="26" t="s">
        <v>145</v>
      </c>
      <c r="B5" s="26">
        <v>4</v>
      </c>
      <c r="C5" s="26" t="s">
        <v>140</v>
      </c>
    </row>
    <row r="6" spans="1:3" x14ac:dyDescent="0.25">
      <c r="A6" s="26" t="s">
        <v>146</v>
      </c>
      <c r="B6" s="26">
        <v>5</v>
      </c>
      <c r="C6" s="26" t="s">
        <v>140</v>
      </c>
    </row>
    <row r="7" spans="1:3" x14ac:dyDescent="0.25">
      <c r="A7" s="26" t="s">
        <v>39</v>
      </c>
      <c r="B7" s="26">
        <v>6</v>
      </c>
      <c r="C7" s="26" t="s">
        <v>140</v>
      </c>
    </row>
    <row r="8" spans="1:3" x14ac:dyDescent="0.25">
      <c r="A8" s="26" t="s">
        <v>40</v>
      </c>
      <c r="B8" s="26">
        <v>7</v>
      </c>
      <c r="C8" s="26" t="s">
        <v>140</v>
      </c>
    </row>
    <row r="9" spans="1:3" x14ac:dyDescent="0.25">
      <c r="A9" s="26" t="s">
        <v>41</v>
      </c>
      <c r="B9" s="26">
        <v>8</v>
      </c>
      <c r="C9" s="26" t="s">
        <v>42</v>
      </c>
    </row>
    <row r="10" spans="1:3" x14ac:dyDescent="0.25">
      <c r="A10" s="26" t="s">
        <v>43</v>
      </c>
      <c r="B10" s="26">
        <v>9</v>
      </c>
      <c r="C10" s="26" t="s">
        <v>140</v>
      </c>
    </row>
    <row r="11" spans="1:3" x14ac:dyDescent="0.25">
      <c r="A11" s="26" t="s">
        <v>44</v>
      </c>
      <c r="B11" s="26">
        <v>10</v>
      </c>
      <c r="C11" s="26" t="s">
        <v>42</v>
      </c>
    </row>
    <row r="12" spans="1:3" x14ac:dyDescent="0.25">
      <c r="A12" s="26" t="s">
        <v>45</v>
      </c>
      <c r="B12" s="26">
        <v>11</v>
      </c>
      <c r="C12" s="26" t="s">
        <v>140</v>
      </c>
    </row>
    <row r="13" spans="1:3" x14ac:dyDescent="0.25">
      <c r="A13" s="26" t="s">
        <v>46</v>
      </c>
      <c r="B13" s="26">
        <v>12</v>
      </c>
      <c r="C13" s="26" t="s">
        <v>140</v>
      </c>
    </row>
    <row r="14" spans="1:3" x14ac:dyDescent="0.25">
      <c r="A14" s="26" t="s">
        <v>47</v>
      </c>
      <c r="B14" s="26">
        <v>13</v>
      </c>
      <c r="C14" s="26" t="s">
        <v>140</v>
      </c>
    </row>
    <row r="15" spans="1:3" x14ac:dyDescent="0.25">
      <c r="A15" s="26" t="s">
        <v>48</v>
      </c>
      <c r="B15" s="26">
        <v>14</v>
      </c>
      <c r="C15" s="26" t="s">
        <v>140</v>
      </c>
    </row>
    <row r="16" spans="1:3" x14ac:dyDescent="0.25">
      <c r="A16" s="26" t="s">
        <v>49</v>
      </c>
      <c r="B16" s="26">
        <v>15</v>
      </c>
      <c r="C16" s="26" t="s">
        <v>140</v>
      </c>
    </row>
    <row r="17" spans="1:3" x14ac:dyDescent="0.25">
      <c r="A17" s="26" t="s">
        <v>50</v>
      </c>
      <c r="B17" s="26">
        <v>16</v>
      </c>
      <c r="C17" s="26" t="s">
        <v>140</v>
      </c>
    </row>
    <row r="18" spans="1:3" x14ac:dyDescent="0.25">
      <c r="A18" s="26" t="s">
        <v>51</v>
      </c>
      <c r="B18" s="26">
        <v>17</v>
      </c>
      <c r="C18" s="26" t="s">
        <v>140</v>
      </c>
    </row>
    <row r="19" spans="1:3" x14ac:dyDescent="0.25">
      <c r="A19" s="26" t="s">
        <v>52</v>
      </c>
      <c r="B19" s="26">
        <v>18</v>
      </c>
      <c r="C19" s="26" t="s">
        <v>140</v>
      </c>
    </row>
    <row r="20" spans="1:3" x14ac:dyDescent="0.25">
      <c r="A20" s="26" t="s">
        <v>53</v>
      </c>
      <c r="B20" s="26">
        <v>19</v>
      </c>
      <c r="C20" s="26" t="s">
        <v>140</v>
      </c>
    </row>
    <row r="21" spans="1:3" x14ac:dyDescent="0.25">
      <c r="A21" s="26" t="s">
        <v>54</v>
      </c>
      <c r="B21" s="26">
        <v>20</v>
      </c>
      <c r="C21" s="26" t="s">
        <v>140</v>
      </c>
    </row>
    <row r="22" spans="1:3" x14ac:dyDescent="0.25">
      <c r="A22" s="26" t="s">
        <v>55</v>
      </c>
      <c r="B22" s="26">
        <v>21</v>
      </c>
      <c r="C22" s="26" t="s">
        <v>140</v>
      </c>
    </row>
    <row r="23" spans="1:3" x14ac:dyDescent="0.25">
      <c r="A23" s="26" t="s">
        <v>56</v>
      </c>
      <c r="B23" s="26">
        <v>22</v>
      </c>
      <c r="C23" s="26" t="s">
        <v>140</v>
      </c>
    </row>
    <row r="24" spans="1:3" x14ac:dyDescent="0.25">
      <c r="A24" s="26" t="s">
        <v>57</v>
      </c>
      <c r="B24" s="26">
        <v>23</v>
      </c>
      <c r="C24" s="26" t="s">
        <v>140</v>
      </c>
    </row>
    <row r="25" spans="1:3" x14ac:dyDescent="0.25">
      <c r="A25" s="26" t="s">
        <v>58</v>
      </c>
      <c r="B25" s="26">
        <v>24</v>
      </c>
      <c r="C25" s="26" t="s">
        <v>140</v>
      </c>
    </row>
    <row r="26" spans="1:3" x14ac:dyDescent="0.25">
      <c r="A26" s="26" t="s">
        <v>59</v>
      </c>
      <c r="B26" s="26">
        <v>25</v>
      </c>
      <c r="C26" s="26" t="s">
        <v>140</v>
      </c>
    </row>
    <row r="27" spans="1:3" x14ac:dyDescent="0.25">
      <c r="A27" s="26" t="s">
        <v>60</v>
      </c>
      <c r="B27" s="26">
        <v>26</v>
      </c>
      <c r="C27" s="26" t="s">
        <v>140</v>
      </c>
    </row>
    <row r="28" spans="1:3" x14ac:dyDescent="0.25">
      <c r="A28" s="26" t="s">
        <v>61</v>
      </c>
      <c r="B28" s="26">
        <v>27</v>
      </c>
      <c r="C28" s="26" t="s">
        <v>140</v>
      </c>
    </row>
    <row r="29" spans="1:3" x14ac:dyDescent="0.25">
      <c r="A29" s="26" t="s">
        <v>62</v>
      </c>
      <c r="B29" s="26">
        <v>28</v>
      </c>
      <c r="C29" s="26" t="s">
        <v>140</v>
      </c>
    </row>
    <row r="30" spans="1:3" x14ac:dyDescent="0.25">
      <c r="A30" s="26" t="s">
        <v>63</v>
      </c>
      <c r="B30" s="26">
        <v>29</v>
      </c>
      <c r="C30" s="26" t="s">
        <v>140</v>
      </c>
    </row>
    <row r="31" spans="1:3" x14ac:dyDescent="0.25">
      <c r="A31" s="26" t="s">
        <v>64</v>
      </c>
      <c r="B31" s="26">
        <v>30</v>
      </c>
      <c r="C31" s="26" t="s">
        <v>140</v>
      </c>
    </row>
    <row r="32" spans="1:3" x14ac:dyDescent="0.25">
      <c r="A32" s="26" t="s">
        <v>65</v>
      </c>
      <c r="B32" s="26">
        <v>31</v>
      </c>
      <c r="C32" s="26" t="s">
        <v>140</v>
      </c>
    </row>
    <row r="33" spans="1:3" x14ac:dyDescent="0.25">
      <c r="A33" s="26" t="s">
        <v>66</v>
      </c>
      <c r="B33" s="26">
        <v>32</v>
      </c>
      <c r="C33" s="26" t="s">
        <v>140</v>
      </c>
    </row>
    <row r="34" spans="1:3" x14ac:dyDescent="0.25">
      <c r="A34" s="26" t="s">
        <v>67</v>
      </c>
      <c r="B34" s="26">
        <v>33</v>
      </c>
      <c r="C34" s="26" t="s">
        <v>140</v>
      </c>
    </row>
    <row r="35" spans="1:3" x14ac:dyDescent="0.25">
      <c r="A35" s="26" t="s">
        <v>68</v>
      </c>
      <c r="B35" s="26">
        <v>34</v>
      </c>
      <c r="C35" s="26" t="s">
        <v>140</v>
      </c>
    </row>
    <row r="36" spans="1:3" x14ac:dyDescent="0.25">
      <c r="A36" s="26" t="s">
        <v>69</v>
      </c>
      <c r="B36" s="26">
        <v>35</v>
      </c>
      <c r="C36" s="26" t="s">
        <v>140</v>
      </c>
    </row>
    <row r="37" spans="1:3" x14ac:dyDescent="0.25">
      <c r="A37" s="26" t="s">
        <v>70</v>
      </c>
      <c r="B37" s="26">
        <v>36</v>
      </c>
      <c r="C37" s="26" t="s">
        <v>140</v>
      </c>
    </row>
    <row r="38" spans="1:3" x14ac:dyDescent="0.25">
      <c r="A38" s="26" t="s">
        <v>71</v>
      </c>
      <c r="B38" s="26">
        <v>37</v>
      </c>
      <c r="C38" s="26" t="s">
        <v>140</v>
      </c>
    </row>
    <row r="39" spans="1:3" x14ac:dyDescent="0.25">
      <c r="A39" s="26" t="s">
        <v>72</v>
      </c>
      <c r="B39" s="26">
        <v>38</v>
      </c>
      <c r="C39" s="26" t="s">
        <v>140</v>
      </c>
    </row>
    <row r="40" spans="1:3" x14ac:dyDescent="0.25">
      <c r="A40" s="26" t="s">
        <v>73</v>
      </c>
      <c r="B40" s="26">
        <v>39</v>
      </c>
      <c r="C40" s="26" t="s">
        <v>42</v>
      </c>
    </row>
    <row r="41" spans="1:3" x14ac:dyDescent="0.25">
      <c r="A41" s="26" t="s">
        <v>74</v>
      </c>
      <c r="B41" s="26">
        <v>40</v>
      </c>
      <c r="C41" s="26" t="s">
        <v>140</v>
      </c>
    </row>
    <row r="42" spans="1:3" x14ac:dyDescent="0.25">
      <c r="A42" s="26" t="s">
        <v>75</v>
      </c>
      <c r="B42" s="26">
        <v>41</v>
      </c>
      <c r="C42" s="26" t="s">
        <v>140</v>
      </c>
    </row>
    <row r="43" spans="1:3" x14ac:dyDescent="0.25">
      <c r="A43" s="26" t="s">
        <v>76</v>
      </c>
      <c r="B43" s="26">
        <v>42</v>
      </c>
      <c r="C43" s="26" t="s">
        <v>140</v>
      </c>
    </row>
    <row r="44" spans="1:3" x14ac:dyDescent="0.25">
      <c r="A44" s="26" t="s">
        <v>77</v>
      </c>
      <c r="B44" s="26">
        <v>43</v>
      </c>
      <c r="C44" s="26" t="s">
        <v>140</v>
      </c>
    </row>
    <row r="45" spans="1:3" x14ac:dyDescent="0.25">
      <c r="A45" s="26" t="s">
        <v>78</v>
      </c>
      <c r="B45" s="26">
        <v>44</v>
      </c>
      <c r="C45" s="26" t="s">
        <v>140</v>
      </c>
    </row>
    <row r="46" spans="1:3" x14ac:dyDescent="0.25">
      <c r="A46" s="26" t="s">
        <v>79</v>
      </c>
      <c r="B46" s="26">
        <v>45</v>
      </c>
      <c r="C46" s="26" t="s">
        <v>140</v>
      </c>
    </row>
    <row r="47" spans="1:3" x14ac:dyDescent="0.25">
      <c r="A47" s="26" t="s">
        <v>80</v>
      </c>
      <c r="B47" s="26">
        <v>46</v>
      </c>
      <c r="C47" s="26" t="s">
        <v>140</v>
      </c>
    </row>
    <row r="48" spans="1:3" x14ac:dyDescent="0.25">
      <c r="A48" s="26" t="s">
        <v>81</v>
      </c>
      <c r="B48" s="26">
        <v>47</v>
      </c>
      <c r="C48" s="26" t="s">
        <v>140</v>
      </c>
    </row>
    <row r="49" spans="1:3" x14ac:dyDescent="0.25">
      <c r="A49" s="26" t="s">
        <v>82</v>
      </c>
      <c r="B49" s="26">
        <v>48</v>
      </c>
      <c r="C49" s="26" t="s">
        <v>140</v>
      </c>
    </row>
    <row r="50" spans="1:3" x14ac:dyDescent="0.25">
      <c r="A50" s="26" t="s">
        <v>83</v>
      </c>
      <c r="B50" s="26">
        <v>49</v>
      </c>
      <c r="C50" s="26" t="s">
        <v>140</v>
      </c>
    </row>
    <row r="51" spans="1:3" x14ac:dyDescent="0.25">
      <c r="A51" s="26" t="s">
        <v>84</v>
      </c>
      <c r="B51" s="26">
        <v>50</v>
      </c>
      <c r="C51" s="26" t="s">
        <v>140</v>
      </c>
    </row>
    <row r="52" spans="1:3" x14ac:dyDescent="0.25">
      <c r="A52" s="26" t="s">
        <v>85</v>
      </c>
      <c r="B52" s="26">
        <v>51</v>
      </c>
      <c r="C52" s="26" t="s">
        <v>140</v>
      </c>
    </row>
    <row r="53" spans="1:3" x14ac:dyDescent="0.25">
      <c r="A53" s="26" t="s">
        <v>86</v>
      </c>
      <c r="B53" s="26">
        <v>52</v>
      </c>
      <c r="C53" s="26" t="s">
        <v>140</v>
      </c>
    </row>
    <row r="54" spans="1:3" x14ac:dyDescent="0.25">
      <c r="A54" s="26" t="s">
        <v>87</v>
      </c>
      <c r="B54" s="26">
        <v>53</v>
      </c>
      <c r="C54" s="26" t="s">
        <v>140</v>
      </c>
    </row>
    <row r="55" spans="1:3" x14ac:dyDescent="0.25">
      <c r="A55" s="26" t="s">
        <v>88</v>
      </c>
      <c r="B55" s="26">
        <v>54</v>
      </c>
      <c r="C55" s="26" t="s">
        <v>140</v>
      </c>
    </row>
    <row r="56" spans="1:3" x14ac:dyDescent="0.25">
      <c r="A56" s="26" t="s">
        <v>89</v>
      </c>
      <c r="B56" s="26">
        <v>55</v>
      </c>
      <c r="C56" s="26" t="s">
        <v>140</v>
      </c>
    </row>
    <row r="57" spans="1:3" x14ac:dyDescent="0.25">
      <c r="A57" s="26" t="s">
        <v>90</v>
      </c>
      <c r="B57" s="26">
        <v>56</v>
      </c>
      <c r="C57" s="26" t="s">
        <v>140</v>
      </c>
    </row>
    <row r="58" spans="1:3" x14ac:dyDescent="0.25">
      <c r="A58" s="26" t="s">
        <v>91</v>
      </c>
      <c r="B58" s="26">
        <v>57</v>
      </c>
      <c r="C58" s="26" t="s">
        <v>140</v>
      </c>
    </row>
    <row r="59" spans="1:3" x14ac:dyDescent="0.25">
      <c r="A59" s="26" t="s">
        <v>92</v>
      </c>
      <c r="B59" s="26">
        <v>58</v>
      </c>
      <c r="C59" s="26" t="s">
        <v>140</v>
      </c>
    </row>
    <row r="60" spans="1:3" x14ac:dyDescent="0.25">
      <c r="A60" s="26" t="s">
        <v>93</v>
      </c>
      <c r="B60" s="26">
        <v>59</v>
      </c>
      <c r="C60" s="26" t="s">
        <v>140</v>
      </c>
    </row>
    <row r="61" spans="1:3" x14ac:dyDescent="0.25">
      <c r="A61" s="26" t="s">
        <v>94</v>
      </c>
      <c r="B61" s="26">
        <v>60</v>
      </c>
      <c r="C61" s="26" t="s">
        <v>140</v>
      </c>
    </row>
    <row r="62" spans="1:3" x14ac:dyDescent="0.25">
      <c r="A62" s="26" t="s">
        <v>95</v>
      </c>
      <c r="B62" s="26">
        <v>61</v>
      </c>
      <c r="C62" s="26" t="s">
        <v>140</v>
      </c>
    </row>
    <row r="63" spans="1:3" x14ac:dyDescent="0.25">
      <c r="A63" s="26" t="s">
        <v>96</v>
      </c>
      <c r="B63" s="26">
        <v>62</v>
      </c>
      <c r="C63" s="26" t="s">
        <v>140</v>
      </c>
    </row>
    <row r="64" spans="1:3" x14ac:dyDescent="0.25">
      <c r="A64" s="26" t="s">
        <v>97</v>
      </c>
      <c r="B64" s="26">
        <v>63</v>
      </c>
      <c r="C64" s="26" t="s">
        <v>140</v>
      </c>
    </row>
    <row r="65" spans="1:3" x14ac:dyDescent="0.25">
      <c r="A65" s="26" t="s">
        <v>98</v>
      </c>
      <c r="B65" s="26">
        <v>64</v>
      </c>
      <c r="C65" s="26" t="s">
        <v>140</v>
      </c>
    </row>
    <row r="66" spans="1:3" x14ac:dyDescent="0.25">
      <c r="A66" s="26" t="s">
        <v>99</v>
      </c>
      <c r="B66" s="26">
        <v>65</v>
      </c>
      <c r="C66" s="26" t="s">
        <v>140</v>
      </c>
    </row>
    <row r="67" spans="1:3" x14ac:dyDescent="0.25">
      <c r="A67" s="26" t="s">
        <v>100</v>
      </c>
      <c r="B67" s="26">
        <v>66</v>
      </c>
      <c r="C67" s="26" t="s">
        <v>140</v>
      </c>
    </row>
    <row r="68" spans="1:3" x14ac:dyDescent="0.25">
      <c r="A68" s="26" t="s">
        <v>101</v>
      </c>
      <c r="B68" s="26">
        <v>67</v>
      </c>
      <c r="C68" s="26" t="s">
        <v>140</v>
      </c>
    </row>
    <row r="69" spans="1:3" x14ac:dyDescent="0.25">
      <c r="A69" s="26" t="s">
        <v>102</v>
      </c>
      <c r="B69" s="26">
        <v>68</v>
      </c>
      <c r="C69" s="26" t="s">
        <v>140</v>
      </c>
    </row>
    <row r="70" spans="1:3" x14ac:dyDescent="0.25">
      <c r="A70" s="26" t="s">
        <v>103</v>
      </c>
      <c r="B70" s="26">
        <v>69</v>
      </c>
      <c r="C70" s="26" t="s">
        <v>140</v>
      </c>
    </row>
    <row r="71" spans="1:3" x14ac:dyDescent="0.25">
      <c r="A71" s="26" t="s">
        <v>104</v>
      </c>
      <c r="B71" s="26">
        <v>70</v>
      </c>
      <c r="C71" s="26" t="s">
        <v>140</v>
      </c>
    </row>
    <row r="72" spans="1:3" x14ac:dyDescent="0.25">
      <c r="A72" s="26" t="s">
        <v>105</v>
      </c>
      <c r="B72" s="26">
        <v>71</v>
      </c>
      <c r="C72" s="26" t="s">
        <v>140</v>
      </c>
    </row>
    <row r="73" spans="1:3" x14ac:dyDescent="0.25">
      <c r="A73" s="26" t="s">
        <v>106</v>
      </c>
      <c r="B73" s="26">
        <v>72</v>
      </c>
      <c r="C73" s="26" t="s">
        <v>140</v>
      </c>
    </row>
    <row r="74" spans="1:3" x14ac:dyDescent="0.25">
      <c r="A74" s="26" t="s">
        <v>107</v>
      </c>
      <c r="B74" s="26">
        <v>73</v>
      </c>
      <c r="C74" s="26" t="s">
        <v>140</v>
      </c>
    </row>
    <row r="75" spans="1:3" x14ac:dyDescent="0.25">
      <c r="A75" s="26" t="s">
        <v>108</v>
      </c>
      <c r="B75" s="26">
        <v>74</v>
      </c>
      <c r="C75" s="26" t="s">
        <v>140</v>
      </c>
    </row>
    <row r="76" spans="1:3" x14ac:dyDescent="0.25">
      <c r="A76" s="26" t="s">
        <v>109</v>
      </c>
      <c r="B76" s="26">
        <v>75</v>
      </c>
      <c r="C76" s="26" t="s">
        <v>140</v>
      </c>
    </row>
    <row r="77" spans="1:3" x14ac:dyDescent="0.25">
      <c r="A77" s="26" t="s">
        <v>110</v>
      </c>
      <c r="B77" s="26">
        <v>76</v>
      </c>
      <c r="C77" s="26" t="s">
        <v>42</v>
      </c>
    </row>
    <row r="78" spans="1:3" x14ac:dyDescent="0.25">
      <c r="A78" s="26" t="s">
        <v>111</v>
      </c>
      <c r="B78" s="26">
        <v>77</v>
      </c>
      <c r="C78" s="26" t="s">
        <v>42</v>
      </c>
    </row>
    <row r="79" spans="1:3" x14ac:dyDescent="0.25">
      <c r="A79" s="26" t="s">
        <v>112</v>
      </c>
      <c r="B79" s="26">
        <v>78</v>
      </c>
      <c r="C79" s="26" t="s">
        <v>42</v>
      </c>
    </row>
    <row r="80" spans="1:3" x14ac:dyDescent="0.25">
      <c r="A80" s="26" t="s">
        <v>113</v>
      </c>
      <c r="B80" s="26">
        <v>79</v>
      </c>
      <c r="C80" s="26" t="s">
        <v>42</v>
      </c>
    </row>
    <row r="81" spans="1:3" x14ac:dyDescent="0.25">
      <c r="A81" s="26" t="s">
        <v>114</v>
      </c>
      <c r="B81" s="26">
        <v>80</v>
      </c>
      <c r="C81" s="26" t="s">
        <v>140</v>
      </c>
    </row>
    <row r="82" spans="1:3" x14ac:dyDescent="0.25">
      <c r="A82" s="26" t="s">
        <v>115</v>
      </c>
      <c r="B82" s="26">
        <v>81</v>
      </c>
      <c r="C82" s="26" t="s">
        <v>140</v>
      </c>
    </row>
    <row r="83" spans="1:3" x14ac:dyDescent="0.25">
      <c r="A83" s="26" t="s">
        <v>116</v>
      </c>
      <c r="B83" s="26">
        <v>82</v>
      </c>
      <c r="C83" s="26" t="s">
        <v>140</v>
      </c>
    </row>
    <row r="84" spans="1:3" x14ac:dyDescent="0.25">
      <c r="A84" s="26" t="s">
        <v>117</v>
      </c>
      <c r="B84" s="26">
        <v>83</v>
      </c>
      <c r="C84" s="26" t="s">
        <v>42</v>
      </c>
    </row>
    <row r="85" spans="1:3" x14ac:dyDescent="0.25">
      <c r="A85" s="26" t="s">
        <v>118</v>
      </c>
      <c r="B85" s="26">
        <v>84</v>
      </c>
      <c r="C85" s="26" t="s">
        <v>140</v>
      </c>
    </row>
    <row r="86" spans="1:3" x14ac:dyDescent="0.25">
      <c r="A86" s="26" t="s">
        <v>119</v>
      </c>
      <c r="B86" s="26">
        <v>85</v>
      </c>
      <c r="C86" s="26" t="s">
        <v>42</v>
      </c>
    </row>
    <row r="87" spans="1:3" x14ac:dyDescent="0.25">
      <c r="A87" s="26" t="s">
        <v>120</v>
      </c>
      <c r="B87" s="26">
        <v>86</v>
      </c>
      <c r="C87" s="26" t="s">
        <v>42</v>
      </c>
    </row>
    <row r="88" spans="1:3" x14ac:dyDescent="0.25">
      <c r="A88" s="26" t="s">
        <v>121</v>
      </c>
      <c r="B88" s="26">
        <v>87</v>
      </c>
      <c r="C88" s="26" t="s">
        <v>140</v>
      </c>
    </row>
    <row r="89" spans="1:3" x14ac:dyDescent="0.25">
      <c r="A89" s="26" t="s">
        <v>122</v>
      </c>
      <c r="B89" s="26">
        <v>88</v>
      </c>
      <c r="C89" s="26" t="s">
        <v>140</v>
      </c>
    </row>
    <row r="90" spans="1:3" x14ac:dyDescent="0.25">
      <c r="A90" s="26" t="s">
        <v>123</v>
      </c>
      <c r="B90" s="26">
        <v>89</v>
      </c>
      <c r="C90" s="26" t="s">
        <v>42</v>
      </c>
    </row>
    <row r="91" spans="1:3" x14ac:dyDescent="0.25">
      <c r="A91" s="26" t="s">
        <v>124</v>
      </c>
      <c r="B91" s="26">
        <v>90</v>
      </c>
      <c r="C91" s="26" t="s">
        <v>140</v>
      </c>
    </row>
    <row r="92" spans="1:3" x14ac:dyDescent="0.25">
      <c r="A92" s="26" t="s">
        <v>125</v>
      </c>
      <c r="B92" s="26">
        <v>91</v>
      </c>
      <c r="C92" s="26" t="s">
        <v>42</v>
      </c>
    </row>
    <row r="93" spans="1:3" x14ac:dyDescent="0.25">
      <c r="A93" s="26" t="s">
        <v>126</v>
      </c>
      <c r="B93" s="26">
        <v>92</v>
      </c>
      <c r="C93" s="26" t="s">
        <v>140</v>
      </c>
    </row>
    <row r="94" spans="1:3" x14ac:dyDescent="0.25">
      <c r="A94" s="26" t="s">
        <v>127</v>
      </c>
      <c r="B94" s="26">
        <v>93</v>
      </c>
      <c r="C94" s="26" t="s">
        <v>140</v>
      </c>
    </row>
    <row r="95" spans="1:3" x14ac:dyDescent="0.25">
      <c r="A95" s="26" t="s">
        <v>128</v>
      </c>
      <c r="B95" s="26">
        <v>94</v>
      </c>
      <c r="C95" s="26" t="s">
        <v>42</v>
      </c>
    </row>
    <row r="96" spans="1:3" x14ac:dyDescent="0.25">
      <c r="A96" s="26" t="s">
        <v>129</v>
      </c>
      <c r="B96" s="26">
        <v>95</v>
      </c>
      <c r="C96" s="26" t="s">
        <v>140</v>
      </c>
    </row>
    <row r="97" spans="1:3" x14ac:dyDescent="0.25">
      <c r="A97" s="26" t="s">
        <v>130</v>
      </c>
      <c r="B97" s="26">
        <v>96</v>
      </c>
      <c r="C97" s="26" t="s">
        <v>140</v>
      </c>
    </row>
    <row r="98" spans="1:3" x14ac:dyDescent="0.25">
      <c r="A98" s="26" t="s">
        <v>131</v>
      </c>
      <c r="B98" s="26">
        <v>97</v>
      </c>
      <c r="C98" s="26" t="s">
        <v>140</v>
      </c>
    </row>
    <row r="99" spans="1:3" x14ac:dyDescent="0.25">
      <c r="A99" s="26" t="s">
        <v>132</v>
      </c>
      <c r="B99" s="26">
        <v>98</v>
      </c>
      <c r="C99" s="26" t="s">
        <v>140</v>
      </c>
    </row>
    <row r="100" spans="1:3" x14ac:dyDescent="0.25">
      <c r="A100" s="26" t="s">
        <v>133</v>
      </c>
      <c r="B100" s="26">
        <v>99</v>
      </c>
      <c r="C100" s="26" t="s">
        <v>140</v>
      </c>
    </row>
  </sheetData>
  <sheetProtection algorithmName="SHA-512" hashValue="tIVES1F7we4zie9f/B4sy3HoHbi5/MXe40cvwJx2z9Q05CGBhICRBgCf/Njh8NbjVTX0qNDvcr3Q1z2Xw7lZAA==" saltValue="yUVH/zK+sPv1/y8LT/9PVg==" spinCount="100000" sheet="1" objects="1" scenarios="1" selectLockedCells="1" selectUnlockedCells="1"/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Cálculo subvención</vt:lpstr>
      <vt:lpstr>Vulnerabilidad</vt:lpstr>
      <vt:lpstr>DIR_ACTUACION</vt:lpstr>
      <vt:lpstr>'Cálculo subvención'!Área_de_impresión</vt:lpstr>
      <vt:lpstr>Vulnerabilidad!Área_de_impresión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ICM</dc:creator>
  <cp:keywords/>
  <dc:description/>
  <cp:lastModifiedBy>Paula PAA. Aparicio Asensio</cp:lastModifiedBy>
  <cp:revision/>
  <cp:lastPrinted>2025-08-26T13:36:44Z</cp:lastPrinted>
  <dcterms:created xsi:type="dcterms:W3CDTF">2022-03-21T08:54:57Z</dcterms:created>
  <dcterms:modified xsi:type="dcterms:W3CDTF">2025-12-16T14:20:09Z</dcterms:modified>
  <cp:category/>
  <cp:contentStatus/>
</cp:coreProperties>
</file>